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\NID\NID-Organisation\Webseite\Datenerhebungen\"/>
    </mc:Choice>
  </mc:AlternateContent>
  <bookViews>
    <workbookView xWindow="0" yWindow="0" windowWidth="17016" windowHeight="6600" activeTab="3"/>
  </bookViews>
  <sheets>
    <sheet name="Frage 1 Anteile" sheetId="3" r:id="rId1"/>
    <sheet name="Frage 1 Altersgruppen" sheetId="2" r:id="rId2"/>
    <sheet name="Frage 2 allgemein" sheetId="12" r:id="rId3"/>
    <sheet name="Frage 2 R+Nie-R" sheetId="20" r:id="rId4"/>
    <sheet name="Frage 2 Altersgruppen" sheetId="16" r:id="rId5"/>
    <sheet name="Frage 2 Altersgruppen-Diff" sheetId="19" r:id="rId6"/>
    <sheet name="Frage 2 Konsum" sheetId="17" r:id="rId7"/>
    <sheet name="Frage 2 Konsum-Diff" sheetId="18" r:id="rId8"/>
  </sheets>
  <calcPr calcId="162913"/>
</workbook>
</file>

<file path=xl/calcChain.xml><?xml version="1.0" encoding="utf-8"?>
<calcChain xmlns="http://schemas.openxmlformats.org/spreadsheetml/2006/main">
  <c r="G6" i="19" l="1"/>
  <c r="B9" i="19"/>
  <c r="C9" i="19"/>
  <c r="D9" i="19"/>
  <c r="B10" i="19"/>
  <c r="C10" i="19"/>
  <c r="D10" i="19"/>
  <c r="F10" i="19"/>
  <c r="G10" i="19"/>
  <c r="B11" i="19"/>
  <c r="C11" i="19"/>
  <c r="D11" i="19"/>
  <c r="E11" i="19"/>
  <c r="H11" i="19"/>
  <c r="F11" i="19"/>
  <c r="G11" i="19"/>
  <c r="B12" i="19"/>
  <c r="C12" i="19"/>
  <c r="H12" i="19"/>
  <c r="D12" i="19"/>
  <c r="E12" i="19"/>
  <c r="F12" i="19"/>
  <c r="G12" i="19"/>
  <c r="B13" i="19"/>
  <c r="C13" i="19"/>
  <c r="H13" i="19"/>
  <c r="D13" i="19"/>
  <c r="E13" i="19"/>
  <c r="F13" i="19"/>
  <c r="G13" i="19"/>
  <c r="B14" i="19"/>
  <c r="C14" i="19"/>
  <c r="D14" i="19"/>
  <c r="F14" i="19"/>
  <c r="G14" i="19"/>
  <c r="B15" i="19"/>
  <c r="C15" i="19"/>
  <c r="D15" i="19"/>
  <c r="E15" i="19"/>
  <c r="H15" i="19"/>
  <c r="F15" i="19"/>
  <c r="G15" i="19"/>
  <c r="B16" i="19"/>
  <c r="C16" i="19"/>
  <c r="H16" i="19"/>
  <c r="D16" i="19"/>
  <c r="E16" i="19"/>
  <c r="F16" i="19"/>
  <c r="G16" i="19"/>
  <c r="B17" i="19"/>
  <c r="D17" i="19"/>
  <c r="E17" i="19"/>
  <c r="B18" i="19"/>
  <c r="C18" i="19"/>
  <c r="D18" i="19"/>
  <c r="B19" i="19"/>
  <c r="D19" i="19"/>
  <c r="E19" i="19"/>
  <c r="B20" i="19"/>
  <c r="C20" i="19"/>
  <c r="D20" i="19"/>
  <c r="E20" i="19"/>
  <c r="F20" i="19"/>
  <c r="G20" i="19"/>
  <c r="B21" i="19"/>
  <c r="C21" i="19"/>
  <c r="H21" i="19"/>
  <c r="D21" i="19"/>
  <c r="E21" i="19"/>
  <c r="G30" i="19"/>
  <c r="B33" i="19"/>
  <c r="C33" i="19"/>
  <c r="D33" i="19"/>
  <c r="F33" i="19"/>
  <c r="G33" i="19"/>
  <c r="B34" i="19"/>
  <c r="C34" i="19"/>
  <c r="D34" i="19"/>
  <c r="E34" i="19"/>
  <c r="H34" i="19"/>
  <c r="F34" i="19"/>
  <c r="G34" i="19"/>
  <c r="B35" i="19"/>
  <c r="C35" i="19"/>
  <c r="H35" i="19"/>
  <c r="D35" i="19"/>
  <c r="E35" i="19"/>
  <c r="F35" i="19"/>
  <c r="G35" i="19"/>
  <c r="B36" i="19"/>
  <c r="C36" i="19"/>
  <c r="H36" i="19"/>
  <c r="D36" i="19"/>
  <c r="E36" i="19"/>
  <c r="F36" i="19"/>
  <c r="G36" i="19"/>
  <c r="B37" i="19"/>
  <c r="C37" i="19"/>
  <c r="D37" i="19"/>
  <c r="F37" i="19"/>
  <c r="G37" i="19"/>
  <c r="B38" i="19"/>
  <c r="C38" i="19"/>
  <c r="D38" i="19"/>
  <c r="E38" i="19"/>
  <c r="H38" i="19"/>
  <c r="F38" i="19"/>
  <c r="G38" i="19"/>
  <c r="B39" i="19"/>
  <c r="C39" i="19"/>
  <c r="H39" i="19"/>
  <c r="D39" i="19"/>
  <c r="E39" i="19"/>
  <c r="F39" i="19"/>
  <c r="G39" i="19"/>
  <c r="B40" i="19"/>
  <c r="D40" i="19"/>
  <c r="E40" i="19"/>
  <c r="B41" i="19"/>
  <c r="C41" i="19"/>
  <c r="D41" i="19"/>
  <c r="B42" i="19"/>
  <c r="D42" i="19"/>
  <c r="E42" i="19"/>
  <c r="B43" i="19"/>
  <c r="C43" i="19"/>
  <c r="H43" i="19"/>
  <c r="D43" i="19"/>
  <c r="E43" i="19"/>
  <c r="F43" i="19"/>
  <c r="G43" i="19"/>
  <c r="B44" i="19"/>
  <c r="C44" i="19"/>
  <c r="D44" i="19"/>
  <c r="E44" i="19"/>
  <c r="H44" i="19"/>
  <c r="B45" i="19"/>
  <c r="C45" i="19"/>
  <c r="E45" i="19"/>
  <c r="F45" i="19"/>
  <c r="G45" i="19"/>
  <c r="H45" i="19"/>
  <c r="G54" i="19"/>
  <c r="G59" i="19"/>
  <c r="B57" i="19"/>
  <c r="C57" i="19"/>
  <c r="D57" i="19"/>
  <c r="E57" i="19"/>
  <c r="F57" i="19"/>
  <c r="G57" i="19"/>
  <c r="B58" i="19"/>
  <c r="C58" i="19"/>
  <c r="H58" i="19"/>
  <c r="D58" i="19"/>
  <c r="E58" i="19"/>
  <c r="B59" i="19"/>
  <c r="C59" i="19"/>
  <c r="D59" i="19"/>
  <c r="F59" i="19"/>
  <c r="E59" i="19"/>
  <c r="H59" i="19"/>
  <c r="B60" i="19"/>
  <c r="C60" i="19"/>
  <c r="D60" i="19"/>
  <c r="B61" i="19"/>
  <c r="C61" i="19"/>
  <c r="H61" i="19"/>
  <c r="D61" i="19"/>
  <c r="E61" i="19"/>
  <c r="B62" i="19"/>
  <c r="C62" i="19"/>
  <c r="D62" i="19"/>
  <c r="B63" i="19"/>
  <c r="C63" i="19"/>
  <c r="D63" i="19"/>
  <c r="F63" i="19"/>
  <c r="G63" i="19"/>
  <c r="B64" i="19"/>
  <c r="C64" i="19"/>
  <c r="D64" i="19"/>
  <c r="E64" i="19"/>
  <c r="H64" i="19"/>
  <c r="F64" i="19"/>
  <c r="B65" i="19"/>
  <c r="C65" i="19"/>
  <c r="H65" i="19"/>
  <c r="D65" i="19"/>
  <c r="E65" i="19"/>
  <c r="F65" i="19"/>
  <c r="G65" i="19"/>
  <c r="B66" i="19"/>
  <c r="C66" i="19"/>
  <c r="H66" i="19"/>
  <c r="D66" i="19"/>
  <c r="E66" i="19"/>
  <c r="F66" i="19"/>
  <c r="G66" i="19"/>
  <c r="B67" i="19"/>
  <c r="C67" i="19"/>
  <c r="D67" i="19"/>
  <c r="F67" i="19"/>
  <c r="G67" i="19"/>
  <c r="B68" i="19"/>
  <c r="C68" i="19"/>
  <c r="D68" i="19"/>
  <c r="E68" i="19"/>
  <c r="H68" i="19"/>
  <c r="F68" i="19"/>
  <c r="G68" i="19"/>
  <c r="B69" i="19"/>
  <c r="C69" i="19"/>
  <c r="H69" i="19"/>
  <c r="D69" i="19"/>
  <c r="E69" i="19"/>
  <c r="F69" i="19"/>
  <c r="G69" i="19"/>
  <c r="B70" i="19"/>
  <c r="D70" i="19"/>
  <c r="E70" i="19"/>
  <c r="C71" i="19"/>
  <c r="E71" i="19"/>
  <c r="H71" i="19"/>
  <c r="F71" i="19"/>
  <c r="G71" i="19"/>
  <c r="G79" i="19"/>
  <c r="B82" i="19"/>
  <c r="C82" i="19"/>
  <c r="D82" i="19"/>
  <c r="B83" i="19"/>
  <c r="C83" i="19"/>
  <c r="D83" i="19"/>
  <c r="F83" i="19"/>
  <c r="G83" i="19"/>
  <c r="B84" i="19"/>
  <c r="C84" i="19"/>
  <c r="D84" i="19"/>
  <c r="E84" i="19"/>
  <c r="H84" i="19"/>
  <c r="F84" i="19"/>
  <c r="G84" i="19"/>
  <c r="B85" i="19"/>
  <c r="C85" i="19"/>
  <c r="H85" i="19"/>
  <c r="D85" i="19"/>
  <c r="E85" i="19"/>
  <c r="F85" i="19"/>
  <c r="G85" i="19"/>
  <c r="B86" i="19"/>
  <c r="C86" i="19"/>
  <c r="H86" i="19"/>
  <c r="D86" i="19"/>
  <c r="E86" i="19"/>
  <c r="F86" i="19"/>
  <c r="G86" i="19"/>
  <c r="B87" i="19"/>
  <c r="C87" i="19"/>
  <c r="D87" i="19"/>
  <c r="B88" i="19"/>
  <c r="C88" i="19"/>
  <c r="D88" i="19"/>
  <c r="E88" i="19"/>
  <c r="H88" i="19"/>
  <c r="F88" i="19"/>
  <c r="G88" i="19"/>
  <c r="B89" i="19"/>
  <c r="C89" i="19"/>
  <c r="D89" i="19"/>
  <c r="E89" i="19"/>
  <c r="F89" i="19"/>
  <c r="G89" i="19"/>
  <c r="B90" i="19"/>
  <c r="F90" i="19"/>
  <c r="C90" i="19"/>
  <c r="H90" i="19"/>
  <c r="D90" i="19"/>
  <c r="E90" i="19"/>
  <c r="G90" i="19"/>
  <c r="B91" i="19"/>
  <c r="C91" i="19"/>
  <c r="D91" i="19"/>
  <c r="F91" i="19"/>
  <c r="G91" i="19"/>
  <c r="B92" i="19"/>
  <c r="D92" i="19"/>
  <c r="E92" i="19"/>
  <c r="B93" i="19"/>
  <c r="C93" i="19"/>
  <c r="D93" i="19"/>
  <c r="E93" i="19"/>
  <c r="F93" i="19"/>
  <c r="G93" i="19"/>
  <c r="B94" i="19"/>
  <c r="C94" i="19"/>
  <c r="D94" i="19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57" i="18"/>
  <c r="C34" i="18"/>
  <c r="C35" i="18"/>
  <c r="C36" i="18"/>
  <c r="C37" i="18"/>
  <c r="H37" i="18"/>
  <c r="C38" i="18"/>
  <c r="C39" i="18"/>
  <c r="C40" i="18"/>
  <c r="C41" i="18"/>
  <c r="C42" i="18"/>
  <c r="C43" i="18"/>
  <c r="C44" i="18"/>
  <c r="C45" i="18"/>
  <c r="H45" i="18"/>
  <c r="C33" i="18"/>
  <c r="H33" i="18"/>
  <c r="H70" i="18"/>
  <c r="H63" i="18"/>
  <c r="H59" i="18"/>
  <c r="H57" i="18"/>
  <c r="H41" i="18"/>
  <c r="H36" i="18"/>
  <c r="G63" i="18"/>
  <c r="G67" i="18"/>
  <c r="G68" i="18"/>
  <c r="F58" i="18"/>
  <c r="F59" i="18"/>
  <c r="F60" i="18"/>
  <c r="G60" i="18"/>
  <c r="F61" i="18"/>
  <c r="G61" i="18"/>
  <c r="F62" i="18"/>
  <c r="G62" i="18"/>
  <c r="F63" i="18"/>
  <c r="F64" i="18"/>
  <c r="F65" i="18"/>
  <c r="F66" i="18"/>
  <c r="G66" i="18"/>
  <c r="F67" i="18"/>
  <c r="F68" i="18"/>
  <c r="F69" i="18"/>
  <c r="F70" i="18"/>
  <c r="G70" i="18"/>
  <c r="F71" i="18"/>
  <c r="F57" i="18"/>
  <c r="G54" i="18"/>
  <c r="F34" i="18"/>
  <c r="F35" i="18"/>
  <c r="F36" i="18"/>
  <c r="F37" i="18"/>
  <c r="F38" i="18"/>
  <c r="G38" i="18"/>
  <c r="F39" i="18"/>
  <c r="F40" i="18"/>
  <c r="F41" i="18"/>
  <c r="F42" i="18"/>
  <c r="F43" i="18"/>
  <c r="G43" i="18"/>
  <c r="F44" i="18"/>
  <c r="F45" i="18"/>
  <c r="F33" i="18"/>
  <c r="G30" i="18"/>
  <c r="G34" i="18"/>
  <c r="G12" i="18"/>
  <c r="G13" i="18"/>
  <c r="G16" i="18"/>
  <c r="G17" i="18"/>
  <c r="G20" i="18"/>
  <c r="G21" i="18"/>
  <c r="F10" i="18"/>
  <c r="G10" i="18"/>
  <c r="F11" i="18"/>
  <c r="G11" i="18"/>
  <c r="F12" i="18"/>
  <c r="F13" i="18"/>
  <c r="F14" i="18"/>
  <c r="G14" i="18"/>
  <c r="F15" i="18"/>
  <c r="G15" i="18"/>
  <c r="F16" i="18"/>
  <c r="F17" i="18"/>
  <c r="F18" i="18"/>
  <c r="G18" i="18"/>
  <c r="F19" i="18"/>
  <c r="G19" i="18"/>
  <c r="F20" i="18"/>
  <c r="F21" i="18"/>
  <c r="F9" i="18"/>
  <c r="B22" i="18"/>
  <c r="G6" i="18"/>
  <c r="B46" i="18"/>
  <c r="B72" i="18"/>
  <c r="C71" i="18"/>
  <c r="H71" i="18"/>
  <c r="C58" i="18"/>
  <c r="H58" i="18"/>
  <c r="C59" i="18"/>
  <c r="C60" i="18"/>
  <c r="H60" i="18"/>
  <c r="C61" i="18"/>
  <c r="H61" i="18"/>
  <c r="C62" i="18"/>
  <c r="H62" i="18"/>
  <c r="C63" i="18"/>
  <c r="C64" i="18"/>
  <c r="H64" i="18"/>
  <c r="C65" i="18"/>
  <c r="H65" i="18"/>
  <c r="C66" i="18"/>
  <c r="H66" i="18"/>
  <c r="C67" i="18"/>
  <c r="H67" i="18"/>
  <c r="C68" i="18"/>
  <c r="H68" i="18"/>
  <c r="C69" i="18"/>
  <c r="H69" i="18"/>
  <c r="C70" i="18"/>
  <c r="C57" i="18"/>
  <c r="C10" i="18"/>
  <c r="H10" i="18"/>
  <c r="C11" i="18"/>
  <c r="H11" i="18"/>
  <c r="C12" i="18"/>
  <c r="C13" i="18"/>
  <c r="C14" i="18"/>
  <c r="H14" i="18"/>
  <c r="C15" i="18"/>
  <c r="H15" i="18"/>
  <c r="C16" i="18"/>
  <c r="C17" i="18"/>
  <c r="C18" i="18"/>
  <c r="H18" i="18"/>
  <c r="C19" i="18"/>
  <c r="H19" i="18"/>
  <c r="C20" i="18"/>
  <c r="C21" i="18"/>
  <c r="C9" i="18"/>
  <c r="H9" i="18"/>
  <c r="E9" i="18"/>
  <c r="E10" i="18"/>
  <c r="E11" i="18"/>
  <c r="E12" i="18"/>
  <c r="H12" i="18"/>
  <c r="E13" i="18"/>
  <c r="E14" i="18"/>
  <c r="E15" i="18"/>
  <c r="E16" i="18"/>
  <c r="H16" i="18"/>
  <c r="E17" i="18"/>
  <c r="H17" i="18"/>
  <c r="E18" i="18"/>
  <c r="E19" i="18"/>
  <c r="E20" i="18"/>
  <c r="E21" i="18"/>
  <c r="H21" i="18"/>
  <c r="D22" i="18"/>
  <c r="E33" i="18"/>
  <c r="E34" i="18"/>
  <c r="H34" i="18"/>
  <c r="E35" i="18"/>
  <c r="E36" i="18"/>
  <c r="E37" i="18"/>
  <c r="E38" i="18"/>
  <c r="E39" i="18"/>
  <c r="E40" i="18"/>
  <c r="H40" i="18"/>
  <c r="E41" i="18"/>
  <c r="E42" i="18"/>
  <c r="H42" i="18"/>
  <c r="E43" i="18"/>
  <c r="E44" i="18"/>
  <c r="H44" i="18"/>
  <c r="E45" i="18"/>
  <c r="D46" i="18"/>
  <c r="F46" i="18"/>
  <c r="D72" i="18"/>
  <c r="E144" i="3"/>
  <c r="D144" i="3"/>
  <c r="C144" i="3"/>
  <c r="B144" i="3"/>
  <c r="I144" i="3"/>
  <c r="J144" i="3"/>
  <c r="K144" i="3"/>
  <c r="H144" i="3"/>
  <c r="F125" i="3"/>
  <c r="F126" i="3"/>
  <c r="F128" i="3"/>
  <c r="F127" i="3"/>
  <c r="F124" i="3"/>
  <c r="D125" i="3"/>
  <c r="D126" i="3"/>
  <c r="D127" i="3"/>
  <c r="D124" i="3"/>
  <c r="E112" i="3"/>
  <c r="C112" i="3"/>
  <c r="E136" i="3"/>
  <c r="C136" i="3"/>
  <c r="E128" i="3"/>
  <c r="C128" i="3"/>
  <c r="F117" i="3"/>
  <c r="F118" i="3"/>
  <c r="F119" i="3"/>
  <c r="F116" i="3"/>
  <c r="C120" i="3"/>
  <c r="E120" i="3"/>
  <c r="D119" i="3"/>
  <c r="D117" i="3"/>
  <c r="D118" i="3"/>
  <c r="D116" i="3"/>
  <c r="D120" i="3"/>
  <c r="D108" i="3"/>
  <c r="D109" i="3"/>
  <c r="D110" i="3"/>
  <c r="D111" i="3"/>
  <c r="D112" i="3"/>
  <c r="D133" i="3"/>
  <c r="D134" i="3"/>
  <c r="D135" i="3"/>
  <c r="D132" i="3"/>
  <c r="D136" i="3"/>
  <c r="F109" i="3"/>
  <c r="F110" i="3"/>
  <c r="F111" i="3"/>
  <c r="F108" i="3"/>
  <c r="F112" i="3"/>
  <c r="F133" i="3"/>
  <c r="F134" i="3"/>
  <c r="F135" i="3"/>
  <c r="F132" i="3"/>
  <c r="F136" i="3"/>
  <c r="F80" i="17"/>
  <c r="F81" i="17"/>
  <c r="F82" i="17"/>
  <c r="F83" i="17"/>
  <c r="F84" i="17"/>
  <c r="F85" i="17"/>
  <c r="F86" i="17"/>
  <c r="F87" i="17"/>
  <c r="F88" i="17"/>
  <c r="F89" i="17"/>
  <c r="F90" i="17"/>
  <c r="F91" i="17"/>
  <c r="F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79" i="17"/>
  <c r="G76" i="17"/>
  <c r="G83" i="17"/>
  <c r="F92" i="17"/>
  <c r="D92" i="17"/>
  <c r="B92" i="17"/>
  <c r="E61" i="17"/>
  <c r="C61" i="17"/>
  <c r="E58" i="17"/>
  <c r="J54" i="17"/>
  <c r="J55" i="17"/>
  <c r="J56" i="17"/>
  <c r="K56" i="17"/>
  <c r="J57" i="17"/>
  <c r="J58" i="17"/>
  <c r="J59" i="17"/>
  <c r="K59" i="17"/>
  <c r="J60" i="17"/>
  <c r="K60" i="17"/>
  <c r="J61" i="17"/>
  <c r="J62" i="17"/>
  <c r="J63" i="17"/>
  <c r="J64" i="17"/>
  <c r="K64" i="17"/>
  <c r="J65" i="17"/>
  <c r="J66" i="17"/>
  <c r="J67" i="17"/>
  <c r="K67" i="17"/>
  <c r="J68" i="17"/>
  <c r="K68" i="17"/>
  <c r="H69" i="17"/>
  <c r="K28" i="17"/>
  <c r="K54" i="17"/>
  <c r="K55" i="17"/>
  <c r="K58" i="17"/>
  <c r="K62" i="17"/>
  <c r="K63" i="17"/>
  <c r="K66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G54" i="17"/>
  <c r="I54" i="17"/>
  <c r="J32" i="17"/>
  <c r="K32" i="17"/>
  <c r="J33" i="17"/>
  <c r="K33" i="17"/>
  <c r="J34" i="17"/>
  <c r="K34" i="17"/>
  <c r="J35" i="17"/>
  <c r="K35" i="17"/>
  <c r="J36" i="17"/>
  <c r="K36" i="17"/>
  <c r="J37" i="17"/>
  <c r="K37" i="17"/>
  <c r="J38" i="17"/>
  <c r="K38" i="17"/>
  <c r="J39" i="17"/>
  <c r="J40" i="17"/>
  <c r="K40" i="17"/>
  <c r="J41" i="17"/>
  <c r="K41" i="17"/>
  <c r="J42" i="17"/>
  <c r="K42" i="17"/>
  <c r="J43" i="17"/>
  <c r="K43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31" i="17"/>
  <c r="J31" i="17"/>
  <c r="K31" i="17"/>
  <c r="I31" i="17"/>
  <c r="J44" i="17"/>
  <c r="H44" i="17"/>
  <c r="K51" i="17"/>
  <c r="J8" i="17"/>
  <c r="J9" i="17"/>
  <c r="K9" i="17"/>
  <c r="J10" i="17"/>
  <c r="J21" i="17"/>
  <c r="J11" i="17"/>
  <c r="J12" i="17"/>
  <c r="J13" i="17"/>
  <c r="K13" i="17"/>
  <c r="J14" i="17"/>
  <c r="K14" i="17"/>
  <c r="J15" i="17"/>
  <c r="J16" i="17"/>
  <c r="J17" i="17"/>
  <c r="K17" i="17"/>
  <c r="J18" i="17"/>
  <c r="J19" i="17"/>
  <c r="J20" i="17"/>
  <c r="H21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K5" i="17"/>
  <c r="K8" i="17"/>
  <c r="K11" i="17"/>
  <c r="K12" i="17"/>
  <c r="K15" i="17"/>
  <c r="K16" i="17"/>
  <c r="K18" i="17"/>
  <c r="K19" i="17"/>
  <c r="K20" i="17"/>
  <c r="I8" i="17"/>
  <c r="C8" i="17"/>
  <c r="E8" i="17"/>
  <c r="G8" i="17"/>
  <c r="C9" i="17"/>
  <c r="E9" i="17"/>
  <c r="G9" i="17"/>
  <c r="C10" i="17"/>
  <c r="E10" i="17"/>
  <c r="G10" i="17"/>
  <c r="C11" i="17"/>
  <c r="E11" i="17"/>
  <c r="G11" i="17"/>
  <c r="C12" i="17"/>
  <c r="E12" i="17"/>
  <c r="G12" i="17"/>
  <c r="C13" i="17"/>
  <c r="E13" i="17"/>
  <c r="G13" i="17"/>
  <c r="C14" i="17"/>
  <c r="E14" i="17"/>
  <c r="G14" i="17"/>
  <c r="C15" i="17"/>
  <c r="E15" i="17"/>
  <c r="G15" i="17"/>
  <c r="C16" i="17"/>
  <c r="E16" i="17"/>
  <c r="G16" i="17"/>
  <c r="C17" i="17"/>
  <c r="E17" i="17"/>
  <c r="G17" i="17"/>
  <c r="C18" i="17"/>
  <c r="E18" i="17"/>
  <c r="G18" i="17"/>
  <c r="C19" i="17"/>
  <c r="E19" i="17"/>
  <c r="G19" i="17"/>
  <c r="C20" i="17"/>
  <c r="E20" i="17"/>
  <c r="G20" i="17"/>
  <c r="B21" i="17"/>
  <c r="D21" i="17"/>
  <c r="F21" i="17"/>
  <c r="C31" i="17"/>
  <c r="E31" i="17"/>
  <c r="C32" i="17"/>
  <c r="E32" i="17"/>
  <c r="C33" i="17"/>
  <c r="E33" i="17"/>
  <c r="C34" i="17"/>
  <c r="E34" i="17"/>
  <c r="C35" i="17"/>
  <c r="E35" i="17"/>
  <c r="C36" i="17"/>
  <c r="E36" i="17"/>
  <c r="C37" i="17"/>
  <c r="E37" i="17"/>
  <c r="C38" i="17"/>
  <c r="E38" i="17"/>
  <c r="C39" i="17"/>
  <c r="E39" i="17"/>
  <c r="C40" i="17"/>
  <c r="E40" i="17"/>
  <c r="C41" i="17"/>
  <c r="E41" i="17"/>
  <c r="C42" i="17"/>
  <c r="E42" i="17"/>
  <c r="C43" i="17"/>
  <c r="E43" i="17"/>
  <c r="B44" i="17"/>
  <c r="D44" i="17"/>
  <c r="F44" i="17"/>
  <c r="C54" i="17"/>
  <c r="E54" i="17"/>
  <c r="C55" i="17"/>
  <c r="E55" i="17"/>
  <c r="G55" i="17"/>
  <c r="C56" i="17"/>
  <c r="E56" i="17"/>
  <c r="G56" i="17"/>
  <c r="C57" i="17"/>
  <c r="E57" i="17"/>
  <c r="G57" i="17"/>
  <c r="C58" i="17"/>
  <c r="G58" i="17"/>
  <c r="C59" i="17"/>
  <c r="E59" i="17"/>
  <c r="G59" i="17"/>
  <c r="C60" i="17"/>
  <c r="E60" i="17"/>
  <c r="G60" i="17"/>
  <c r="G61" i="17"/>
  <c r="C62" i="17"/>
  <c r="E62" i="17"/>
  <c r="G62" i="17"/>
  <c r="C63" i="17"/>
  <c r="E63" i="17"/>
  <c r="G63" i="17"/>
  <c r="C64" i="17"/>
  <c r="E64" i="17"/>
  <c r="G64" i="17"/>
  <c r="C65" i="17"/>
  <c r="E65" i="17"/>
  <c r="G65" i="17"/>
  <c r="C66" i="17"/>
  <c r="E66" i="17"/>
  <c r="G66" i="17"/>
  <c r="C67" i="17"/>
  <c r="E67" i="17"/>
  <c r="G67" i="17"/>
  <c r="C68" i="17"/>
  <c r="E68" i="17"/>
  <c r="G68" i="17"/>
  <c r="B69" i="17"/>
  <c r="D69" i="17"/>
  <c r="F69" i="17"/>
  <c r="B84" i="16"/>
  <c r="D90" i="16"/>
  <c r="F90" i="16"/>
  <c r="G90" i="16"/>
  <c r="B90" i="16"/>
  <c r="D89" i="16"/>
  <c r="B89" i="16"/>
  <c r="F89" i="16"/>
  <c r="G89" i="16"/>
  <c r="D88" i="16"/>
  <c r="F88" i="16"/>
  <c r="G88" i="16"/>
  <c r="B88" i="16"/>
  <c r="D87" i="16"/>
  <c r="B87" i="16"/>
  <c r="D86" i="16"/>
  <c r="F86" i="16"/>
  <c r="G86" i="16"/>
  <c r="B86" i="16"/>
  <c r="D85" i="16"/>
  <c r="B85" i="16"/>
  <c r="F85" i="16"/>
  <c r="G85" i="16"/>
  <c r="D84" i="16"/>
  <c r="F84" i="16"/>
  <c r="D83" i="16"/>
  <c r="B83" i="16"/>
  <c r="D82" i="16"/>
  <c r="E82" i="16"/>
  <c r="B82" i="16"/>
  <c r="F82" i="16"/>
  <c r="G82" i="16"/>
  <c r="D81" i="16"/>
  <c r="B81" i="16"/>
  <c r="D80" i="16"/>
  <c r="B80" i="16"/>
  <c r="B79" i="16"/>
  <c r="D79" i="16"/>
  <c r="F79" i="16"/>
  <c r="F80" i="16"/>
  <c r="F81" i="16"/>
  <c r="F83" i="16"/>
  <c r="F87" i="16"/>
  <c r="G87" i="16"/>
  <c r="D78" i="16"/>
  <c r="D91" i="16"/>
  <c r="B78" i="16"/>
  <c r="F78" i="16"/>
  <c r="G75" i="16"/>
  <c r="G81" i="16"/>
  <c r="G79" i="16"/>
  <c r="G80" i="16"/>
  <c r="G83" i="16"/>
  <c r="E79" i="16"/>
  <c r="E80" i="16"/>
  <c r="E81" i="16"/>
  <c r="E83" i="16"/>
  <c r="E84" i="16"/>
  <c r="E85" i="16"/>
  <c r="E87" i="16"/>
  <c r="E88" i="16"/>
  <c r="E89" i="16"/>
  <c r="C79" i="16"/>
  <c r="C80" i="16"/>
  <c r="C81" i="16"/>
  <c r="C83" i="16"/>
  <c r="C84" i="16"/>
  <c r="C86" i="16"/>
  <c r="C87" i="16"/>
  <c r="C88" i="16"/>
  <c r="C90" i="16"/>
  <c r="G78" i="16"/>
  <c r="E78" i="16"/>
  <c r="D67" i="16"/>
  <c r="B67" i="16"/>
  <c r="D66" i="16"/>
  <c r="E66" i="16"/>
  <c r="B66" i="16"/>
  <c r="D65" i="16"/>
  <c r="B65" i="16"/>
  <c r="F65" i="16"/>
  <c r="G65" i="16"/>
  <c r="D64" i="16"/>
  <c r="F64" i="16"/>
  <c r="G64" i="16"/>
  <c r="B64" i="16"/>
  <c r="D63" i="16"/>
  <c r="B63" i="16"/>
  <c r="D62" i="16"/>
  <c r="E62" i="16"/>
  <c r="B62" i="16"/>
  <c r="D61" i="16"/>
  <c r="B61" i="16"/>
  <c r="F61" i="16"/>
  <c r="G61" i="16"/>
  <c r="D60" i="16"/>
  <c r="F60" i="16"/>
  <c r="G60" i="16"/>
  <c r="B60" i="16"/>
  <c r="D59" i="16"/>
  <c r="B59" i="16"/>
  <c r="D58" i="16"/>
  <c r="F58" i="16"/>
  <c r="G58" i="16"/>
  <c r="B58" i="16"/>
  <c r="D57" i="16"/>
  <c r="B57" i="16"/>
  <c r="F57" i="16"/>
  <c r="G57" i="16"/>
  <c r="D56" i="16"/>
  <c r="F56" i="16"/>
  <c r="G56" i="16"/>
  <c r="B56" i="16"/>
  <c r="B55" i="16"/>
  <c r="D55" i="16"/>
  <c r="D69" i="16"/>
  <c r="F55" i="16"/>
  <c r="F59" i="16"/>
  <c r="F62" i="16"/>
  <c r="F63" i="16"/>
  <c r="F66" i="16"/>
  <c r="F67" i="16"/>
  <c r="F68" i="16"/>
  <c r="D54" i="16"/>
  <c r="B54" i="16"/>
  <c r="F54" i="16"/>
  <c r="G51" i="16"/>
  <c r="G68" i="16"/>
  <c r="G55" i="16"/>
  <c r="G59" i="16"/>
  <c r="G62" i="16"/>
  <c r="G63" i="16"/>
  <c r="G66" i="16"/>
  <c r="G67" i="16"/>
  <c r="E56" i="16"/>
  <c r="E57" i="16"/>
  <c r="E59" i="16"/>
  <c r="E60" i="16"/>
  <c r="E61" i="16"/>
  <c r="E63" i="16"/>
  <c r="E64" i="16"/>
  <c r="E65" i="16"/>
  <c r="E67" i="16"/>
  <c r="E68" i="16"/>
  <c r="C55" i="16"/>
  <c r="C56" i="16"/>
  <c r="C58" i="16"/>
  <c r="C59" i="16"/>
  <c r="C60" i="16"/>
  <c r="C62" i="16"/>
  <c r="C63" i="16"/>
  <c r="C64" i="16"/>
  <c r="C66" i="16"/>
  <c r="C67" i="16"/>
  <c r="C68" i="16"/>
  <c r="E54" i="16"/>
  <c r="C54" i="16"/>
  <c r="B43" i="16"/>
  <c r="D42" i="16"/>
  <c r="B42" i="16"/>
  <c r="F42" i="16"/>
  <c r="G42" i="16"/>
  <c r="D41" i="16"/>
  <c r="E41" i="16"/>
  <c r="B41" i="16"/>
  <c r="D40" i="16"/>
  <c r="B40" i="16"/>
  <c r="F40" i="16"/>
  <c r="G40" i="16"/>
  <c r="D39" i="16"/>
  <c r="B39" i="16"/>
  <c r="D38" i="16"/>
  <c r="B38" i="16"/>
  <c r="F38" i="16"/>
  <c r="G38" i="16"/>
  <c r="D37" i="16"/>
  <c r="F37" i="16"/>
  <c r="G37" i="16"/>
  <c r="B37" i="16"/>
  <c r="D36" i="16"/>
  <c r="B36" i="16"/>
  <c r="F36" i="16"/>
  <c r="G36" i="16"/>
  <c r="D35" i="16"/>
  <c r="F35" i="16"/>
  <c r="G35" i="16"/>
  <c r="B35" i="16"/>
  <c r="D34" i="16"/>
  <c r="B34" i="16"/>
  <c r="F34" i="16"/>
  <c r="G34" i="16"/>
  <c r="D33" i="16"/>
  <c r="F33" i="16"/>
  <c r="B33" i="16"/>
  <c r="D32" i="16"/>
  <c r="B32" i="16"/>
  <c r="C32" i="16"/>
  <c r="F32" i="16"/>
  <c r="G32" i="16"/>
  <c r="G28" i="16"/>
  <c r="F39" i="16"/>
  <c r="G39" i="16"/>
  <c r="F41" i="16"/>
  <c r="G41" i="16"/>
  <c r="F43" i="16"/>
  <c r="G43" i="16"/>
  <c r="E32" i="16"/>
  <c r="E34" i="16"/>
  <c r="E35" i="16"/>
  <c r="E36" i="16"/>
  <c r="E38" i="16"/>
  <c r="E39" i="16"/>
  <c r="E40" i="16"/>
  <c r="E42" i="16"/>
  <c r="E43" i="16"/>
  <c r="C33" i="16"/>
  <c r="C34" i="16"/>
  <c r="C35" i="16"/>
  <c r="C37" i="16"/>
  <c r="C38" i="16"/>
  <c r="C39" i="16"/>
  <c r="C41" i="16"/>
  <c r="C42" i="16"/>
  <c r="C43" i="16"/>
  <c r="B31" i="16"/>
  <c r="D31" i="16"/>
  <c r="F31" i="16"/>
  <c r="G31" i="16"/>
  <c r="E31" i="16"/>
  <c r="C31" i="16"/>
  <c r="D44" i="16"/>
  <c r="G5" i="16"/>
  <c r="D20" i="16"/>
  <c r="B20" i="16"/>
  <c r="C20" i="16"/>
  <c r="D19" i="16"/>
  <c r="F19" i="16"/>
  <c r="G19" i="16"/>
  <c r="B19" i="16"/>
  <c r="D18" i="16"/>
  <c r="B18" i="16"/>
  <c r="F18" i="16"/>
  <c r="G18" i="16"/>
  <c r="D17" i="16"/>
  <c r="E17" i="16"/>
  <c r="B17" i="16"/>
  <c r="D16" i="16"/>
  <c r="B16" i="16"/>
  <c r="C16" i="16"/>
  <c r="D15" i="16"/>
  <c r="F15" i="16"/>
  <c r="G15" i="16"/>
  <c r="B15" i="16"/>
  <c r="D14" i="16"/>
  <c r="B14" i="16"/>
  <c r="F14" i="16"/>
  <c r="G14" i="16"/>
  <c r="D13" i="16"/>
  <c r="E13" i="16"/>
  <c r="B13" i="16"/>
  <c r="D12" i="16"/>
  <c r="B12" i="16"/>
  <c r="C12" i="16"/>
  <c r="D11" i="16"/>
  <c r="F11" i="16"/>
  <c r="G11" i="16"/>
  <c r="B11" i="16"/>
  <c r="F12" i="16"/>
  <c r="G12" i="16"/>
  <c r="F13" i="16"/>
  <c r="F16" i="16"/>
  <c r="G16" i="16"/>
  <c r="F17" i="16"/>
  <c r="F20" i="16"/>
  <c r="G20" i="16"/>
  <c r="B8" i="16"/>
  <c r="C8" i="16"/>
  <c r="D8" i="16"/>
  <c r="B9" i="16"/>
  <c r="F9" i="16"/>
  <c r="G9" i="16"/>
  <c r="D9" i="16"/>
  <c r="D21" i="16"/>
  <c r="B10" i="16"/>
  <c r="D10" i="16"/>
  <c r="E10" i="16"/>
  <c r="F10" i="16"/>
  <c r="E11" i="16"/>
  <c r="E12" i="16"/>
  <c r="E14" i="16"/>
  <c r="E15" i="16"/>
  <c r="E16" i="16"/>
  <c r="E18" i="16"/>
  <c r="E19" i="16"/>
  <c r="E20" i="16"/>
  <c r="C11" i="16"/>
  <c r="C13" i="16"/>
  <c r="C14" i="16"/>
  <c r="C15" i="16"/>
  <c r="C17" i="16"/>
  <c r="C18" i="16"/>
  <c r="C19" i="16"/>
  <c r="G10" i="16"/>
  <c r="G13" i="16"/>
  <c r="G17" i="16"/>
  <c r="E9" i="16"/>
  <c r="E8" i="16"/>
  <c r="C9" i="16"/>
  <c r="C10" i="16"/>
  <c r="B44" i="16"/>
  <c r="B69" i="16"/>
  <c r="B86" i="12"/>
  <c r="B64" i="12"/>
  <c r="B41" i="12"/>
  <c r="B20" i="12"/>
  <c r="C175" i="2"/>
  <c r="D175" i="2"/>
  <c r="E175" i="2"/>
  <c r="F175" i="2"/>
  <c r="G175" i="2"/>
  <c r="H175" i="2"/>
  <c r="I175" i="2"/>
  <c r="B175" i="2"/>
  <c r="C167" i="2"/>
  <c r="D167" i="2"/>
  <c r="E167" i="2"/>
  <c r="F167" i="2"/>
  <c r="G167" i="2"/>
  <c r="H167" i="2"/>
  <c r="I167" i="2"/>
  <c r="B167" i="2"/>
  <c r="C159" i="2"/>
  <c r="D159" i="2"/>
  <c r="E159" i="2"/>
  <c r="F159" i="2"/>
  <c r="G159" i="2"/>
  <c r="H159" i="2"/>
  <c r="I159" i="2"/>
  <c r="B159" i="2"/>
  <c r="I129" i="2"/>
  <c r="B92" i="2"/>
  <c r="C92" i="2"/>
  <c r="D92" i="2"/>
  <c r="E92" i="2"/>
  <c r="F92" i="2"/>
  <c r="G92" i="2"/>
  <c r="H92" i="2"/>
  <c r="I16" i="2"/>
  <c r="I55" i="2"/>
  <c r="I92" i="2"/>
  <c r="B87" i="2"/>
  <c r="C87" i="2"/>
  <c r="D87" i="2"/>
  <c r="E87" i="2"/>
  <c r="F87" i="2"/>
  <c r="G87" i="2"/>
  <c r="H87" i="2"/>
  <c r="B80" i="3"/>
  <c r="C80" i="3"/>
  <c r="F69" i="3"/>
  <c r="F70" i="3"/>
  <c r="F73" i="3"/>
  <c r="F71" i="3"/>
  <c r="F72" i="3"/>
  <c r="D69" i="3"/>
  <c r="D70" i="3"/>
  <c r="D73" i="3"/>
  <c r="D71" i="3"/>
  <c r="D72" i="3"/>
  <c r="B91" i="2"/>
  <c r="C91" i="2"/>
  <c r="I128" i="2"/>
  <c r="H84" i="2"/>
  <c r="C86" i="2"/>
  <c r="D86" i="2"/>
  <c r="E86" i="2"/>
  <c r="F86" i="2"/>
  <c r="G86" i="2"/>
  <c r="H86" i="2"/>
  <c r="B86" i="2"/>
  <c r="D91" i="2"/>
  <c r="E91" i="2"/>
  <c r="F91" i="2"/>
  <c r="G91" i="2"/>
  <c r="H91" i="2"/>
  <c r="I15" i="2"/>
  <c r="I91" i="2"/>
  <c r="I54" i="2"/>
  <c r="I13" i="2"/>
  <c r="I14" i="2"/>
  <c r="I52" i="2"/>
  <c r="I53" i="2"/>
  <c r="B84" i="2"/>
  <c r="C84" i="2"/>
  <c r="D84" i="2"/>
  <c r="E84" i="2"/>
  <c r="F84" i="2"/>
  <c r="G84" i="2"/>
  <c r="B85" i="2"/>
  <c r="C85" i="2"/>
  <c r="D85" i="2"/>
  <c r="E85" i="2"/>
  <c r="F85" i="2"/>
  <c r="G85" i="2"/>
  <c r="H85" i="2"/>
  <c r="B89" i="2"/>
  <c r="I89" i="2"/>
  <c r="C89" i="2"/>
  <c r="D89" i="2"/>
  <c r="E89" i="2"/>
  <c r="F89" i="2"/>
  <c r="G89" i="2"/>
  <c r="H89" i="2"/>
  <c r="B90" i="2"/>
  <c r="I90" i="2"/>
  <c r="C90" i="2"/>
  <c r="D90" i="2"/>
  <c r="E90" i="2"/>
  <c r="F90" i="2"/>
  <c r="G90" i="2"/>
  <c r="H90" i="2"/>
  <c r="I126" i="2"/>
  <c r="I127" i="2"/>
  <c r="F69" i="16"/>
  <c r="F91" i="16"/>
  <c r="G84" i="16"/>
  <c r="F44" i="16"/>
  <c r="G33" i="16"/>
  <c r="B21" i="16"/>
  <c r="F8" i="16"/>
  <c r="E37" i="16"/>
  <c r="E33" i="16"/>
  <c r="G54" i="16"/>
  <c r="C65" i="16"/>
  <c r="C61" i="16"/>
  <c r="C57" i="16"/>
  <c r="E55" i="16"/>
  <c r="C82" i="16"/>
  <c r="E90" i="16"/>
  <c r="E86" i="16"/>
  <c r="K10" i="17"/>
  <c r="G88" i="17"/>
  <c r="G80" i="17"/>
  <c r="G89" i="17"/>
  <c r="G85" i="17"/>
  <c r="G81" i="17"/>
  <c r="D128" i="3"/>
  <c r="H13" i="18"/>
  <c r="G37" i="18"/>
  <c r="G44" i="18"/>
  <c r="G58" i="18"/>
  <c r="F72" i="18"/>
  <c r="E94" i="19"/>
  <c r="H94" i="19"/>
  <c r="F94" i="19"/>
  <c r="G94" i="19"/>
  <c r="F87" i="19"/>
  <c r="G87" i="19"/>
  <c r="E87" i="19"/>
  <c r="H87" i="19"/>
  <c r="F41" i="19"/>
  <c r="G41" i="19"/>
  <c r="E41" i="19"/>
  <c r="H41" i="19"/>
  <c r="E9" i="19"/>
  <c r="H9" i="19"/>
  <c r="F9" i="19"/>
  <c r="D22" i="19"/>
  <c r="B91" i="16"/>
  <c r="C40" i="16"/>
  <c r="C36" i="16"/>
  <c r="E58" i="16"/>
  <c r="C78" i="16"/>
  <c r="C89" i="16"/>
  <c r="C85" i="16"/>
  <c r="K39" i="17"/>
  <c r="K65" i="17"/>
  <c r="K61" i="17"/>
  <c r="K57" i="17"/>
  <c r="G87" i="17"/>
  <c r="F120" i="3"/>
  <c r="H20" i="18"/>
  <c r="G36" i="18"/>
  <c r="G59" i="18"/>
  <c r="G64" i="18"/>
  <c r="G71" i="18"/>
  <c r="G69" i="18"/>
  <c r="G65" i="18"/>
  <c r="G57" i="18"/>
  <c r="C92" i="19"/>
  <c r="H92" i="19"/>
  <c r="F92" i="19"/>
  <c r="G92" i="19"/>
  <c r="E82" i="19"/>
  <c r="F82" i="19"/>
  <c r="F61" i="19"/>
  <c r="G61" i="19"/>
  <c r="E60" i="19"/>
  <c r="H60" i="19"/>
  <c r="F60" i="19"/>
  <c r="G60" i="19"/>
  <c r="C40" i="19"/>
  <c r="H40" i="19"/>
  <c r="F40" i="19"/>
  <c r="G40" i="19"/>
  <c r="C19" i="19"/>
  <c r="H19" i="19"/>
  <c r="F19" i="19"/>
  <c r="G19" i="19"/>
  <c r="G79" i="17"/>
  <c r="G84" i="17"/>
  <c r="G41" i="18"/>
  <c r="G45" i="18"/>
  <c r="G39" i="18"/>
  <c r="G35" i="18"/>
  <c r="G40" i="18"/>
  <c r="H38" i="18"/>
  <c r="D95" i="19"/>
  <c r="H93" i="19"/>
  <c r="E91" i="19"/>
  <c r="H91" i="19"/>
  <c r="H89" i="19"/>
  <c r="H82" i="19"/>
  <c r="C70" i="19"/>
  <c r="H70" i="19"/>
  <c r="F70" i="19"/>
  <c r="G70" i="19"/>
  <c r="H57" i="19"/>
  <c r="H20" i="19"/>
  <c r="F18" i="19"/>
  <c r="G18" i="19"/>
  <c r="E18" i="19"/>
  <c r="H18" i="19"/>
  <c r="J69" i="17"/>
  <c r="G91" i="17"/>
  <c r="G90" i="17"/>
  <c r="G86" i="17"/>
  <c r="G82" i="17"/>
  <c r="G9" i="18"/>
  <c r="F22" i="18"/>
  <c r="G33" i="18"/>
  <c r="G42" i="18"/>
  <c r="E62" i="19"/>
  <c r="H62" i="19"/>
  <c r="F62" i="19"/>
  <c r="G62" i="19"/>
  <c r="C42" i="19"/>
  <c r="H42" i="19"/>
  <c r="F42" i="19"/>
  <c r="G42" i="19"/>
  <c r="C17" i="19"/>
  <c r="H17" i="19"/>
  <c r="F17" i="19"/>
  <c r="G17" i="19"/>
  <c r="H43" i="18"/>
  <c r="H39" i="18"/>
  <c r="H35" i="18"/>
  <c r="E83" i="19"/>
  <c r="H83" i="19"/>
  <c r="D72" i="19"/>
  <c r="E63" i="19"/>
  <c r="H63" i="19"/>
  <c r="D46" i="19"/>
  <c r="E33" i="19"/>
  <c r="H33" i="19"/>
  <c r="E10" i="19"/>
  <c r="H10" i="19"/>
  <c r="B95" i="19"/>
  <c r="B72" i="19"/>
  <c r="E67" i="19"/>
  <c r="H67" i="19"/>
  <c r="F58" i="19"/>
  <c r="B46" i="19"/>
  <c r="F44" i="19"/>
  <c r="G44" i="19"/>
  <c r="E37" i="19"/>
  <c r="H37" i="19"/>
  <c r="F21" i="19"/>
  <c r="G21" i="19"/>
  <c r="E14" i="19"/>
  <c r="H14" i="19"/>
  <c r="B22" i="19"/>
  <c r="G64" i="19"/>
  <c r="G82" i="19"/>
  <c r="F95" i="19"/>
  <c r="G8" i="16"/>
  <c r="F21" i="16"/>
  <c r="F46" i="19"/>
  <c r="G58" i="19"/>
  <c r="F72" i="19"/>
  <c r="G9" i="19"/>
  <c r="F22" i="19"/>
</calcChain>
</file>

<file path=xl/sharedStrings.xml><?xml version="1.0" encoding="utf-8"?>
<sst xmlns="http://schemas.openxmlformats.org/spreadsheetml/2006/main" count="897" uniqueCount="164">
  <si>
    <t>Nie-Raucher</t>
  </si>
  <si>
    <t>2007</t>
  </si>
  <si>
    <t>2011</t>
  </si>
  <si>
    <t>Ex-Raucher</t>
  </si>
  <si>
    <t>Raucher</t>
  </si>
  <si>
    <t>Alter
16-19</t>
  </si>
  <si>
    <t>Alter
20-29</t>
  </si>
  <si>
    <t>Alter
30-39</t>
  </si>
  <si>
    <t>Alter
40-49</t>
  </si>
  <si>
    <t>Alter
50-59</t>
  </si>
  <si>
    <t>Alter
60-69</t>
  </si>
  <si>
    <t xml:space="preserve">Alter
70 + </t>
  </si>
  <si>
    <t>Gesamt</t>
  </si>
  <si>
    <t>2013</t>
  </si>
  <si>
    <t>Frage 1:</t>
  </si>
  <si>
    <t xml:space="preserve">Vorgaben: </t>
  </si>
  <si>
    <t>Ich habe noch nie eine Zigarette geraucht, auch nicht zum Probieren.</t>
  </si>
  <si>
    <t>Ich habe lediglich einmal zum Probieren geraucht, dann aber nie mehr.</t>
  </si>
  <si>
    <t>Ich habe frueher gelegentlich geraucht, insgesamt weniger als 100 Zigaretten, dann aber nie mehr.</t>
  </si>
  <si>
    <t>Ich habe frueher regelmaessig ca. 1 bis 5 Zigaretten am Tag geraucht, heute aber nicht mehr.</t>
  </si>
  <si>
    <t>Ich habe frueher regelmaessig ca. 6 bis 15 Zigaretten am Tag geraucht, heute aber nicht mehr.</t>
  </si>
  <si>
    <t>Ich habe frueher regelmaessig mehr als 15 Zigaretten am Tag geraucht, heute aber nicht mehr.</t>
  </si>
  <si>
    <t>Ich rauche zurzeit gelegentlich Zigaretten.</t>
  </si>
  <si>
    <t>Ich rauche zurzeit regelmaessig ca. 1 bis 5 Zigaretten am Tag.</t>
  </si>
  <si>
    <t>Ich rauche zurzeit regelmaessig ca. 6 bis 15 Zigaretten am Tag.</t>
  </si>
  <si>
    <t>Ich rauche zurzeit regelmaessig mehr als 15 Zigaretten am Tag.</t>
  </si>
  <si>
    <t>Prozent</t>
  </si>
  <si>
    <t>Alter
16-70+</t>
  </si>
  <si>
    <t>gelegentlich</t>
  </si>
  <si>
    <t>1-5 Zigaretten</t>
  </si>
  <si>
    <t>6-15 Zigaretten</t>
  </si>
  <si>
    <t>über 15 Zigaretten</t>
  </si>
  <si>
    <t>GfK-Classic Bus Juli/August 2015</t>
  </si>
  <si>
    <t>Studien-Nummer: 2015 - 073/081</t>
  </si>
  <si>
    <t>Sprechen wir nun kurz über das Rauchen (darunter fallen auch Zigarren, Zigarillos, Pfeife). Welche der Aussagen auf diesem Bildschirm beschreibt Ihr persönliches Verhalten in Bezug auf das Rauchen am besten?</t>
  </si>
  <si>
    <t>2015</t>
  </si>
  <si>
    <t>Änderungen 2007-2015</t>
  </si>
  <si>
    <t>Unterstützung von Familie, FreundInnen oder KollegInnen.</t>
  </si>
  <si>
    <t>Ein starker Wille.</t>
  </si>
  <si>
    <t>Eine erhebliche Änderung der Lebensgestaltung.</t>
  </si>
  <si>
    <t>Rauchen richtig satt zu haben.</t>
  </si>
  <si>
    <t>Tabakrauch als Gestank zu empfinden.</t>
  </si>
  <si>
    <t>Sich gut vorzubereiten.</t>
  </si>
  <si>
    <t>Es den Bekannten zu zeigen, dass man willensstark ist.</t>
  </si>
  <si>
    <t>Der Zwang zu sparen.</t>
  </si>
  <si>
    <t>Die Verwendung von Hilfsmitteln oder professionelle Unterstützung.</t>
  </si>
  <si>
    <t>Andere Gründe.</t>
  </si>
  <si>
    <t>GfK-Classic Bus Juli/August 2015 
Studien-Nummer: 2015 - 073/081 
Basis: 2065 Fragebögen</t>
  </si>
  <si>
    <t>Ich rauche und habe nie versucht mit dem Rauchen aufzuhören. 
Aufgrund meiner Erfahrungen denke ich,
dass für eine erfolgreiche Raucherentwöhnung Folgendes wichtig ist:</t>
  </si>
  <si>
    <t>es mein erster Versuch war.</t>
  </si>
  <si>
    <t>ich zu wenig motiviert war.</t>
  </si>
  <si>
    <t>ich mich schlecht vorbereitet habe.</t>
  </si>
  <si>
    <t>ich stark abhängig von Nikotin bin.</t>
  </si>
  <si>
    <t>es sehr anstrengend ist.</t>
  </si>
  <si>
    <t>mir die Unterstützung von Familie, FreundInnen oder KollegInnen fehlte.</t>
  </si>
  <si>
    <t>ich die gesundheitlichen Folgen des Rauchens bei mir noch zu wenig spürte.</t>
  </si>
  <si>
    <t>die Herausforderung für mich zu groß war.</t>
  </si>
  <si>
    <t>Nikotinersatz (Pflaster, Kaugummi, Spray) nicht wirklich etwas gebracht hat.</t>
  </si>
  <si>
    <t>ich viele RaucherInnen in meinem Bekanntenkreis habe.</t>
  </si>
  <si>
    <t>ich über genügend Geld verfüge und nicht sparen muss.</t>
  </si>
  <si>
    <t>Ich rauche,  habe jedoch mindestens einmal probiert mit dem Rauchen aufzuhören,
es aber nicht geschafft, weil ...</t>
  </si>
  <si>
    <t>Ich habe früher geraucht und es geschafft aufzuhören, weil ...</t>
  </si>
  <si>
    <t>ich im Leben schon oft Herausforderungen bewältigt habe.</t>
  </si>
  <si>
    <t>ich Unterstützung von Familie, FreundInnen oder KollegInnen hatte.</t>
  </si>
  <si>
    <t>ich wegen eigener Krankheit(en) gesundheitlich stark motiviert war.</t>
  </si>
  <si>
    <t>ich es auch schaffe, wenn ich etwas wirklich will.</t>
  </si>
  <si>
    <t>ich mein Leben erheblich geändert habe.</t>
  </si>
  <si>
    <t>ich Rauchen allmählich richtig satt hatte.</t>
  </si>
  <si>
    <t>ich stolz auf mich sein wollte.</t>
  </si>
  <si>
    <t>ich den Tabakgestank endlich loswerden wollte.</t>
  </si>
  <si>
    <t>ich mich gut vorbereitet habe.</t>
  </si>
  <si>
    <t>ich meinen Bekannten zeigen wollte, dass ich willensstark bin.</t>
  </si>
  <si>
    <t>ich sparen musste.</t>
  </si>
  <si>
    <t>ich Hilfsmittel verwendet oder professionelle Unterstützung hatte.</t>
  </si>
  <si>
    <t>Ich habe nie geraucht. Aufgrund meiner Erfahrungen mit Rauchern und Ex-Rauchern
denke ich, dass für eine erfolgreiche Raucherentwöhnung Folgendes wichtig ist:</t>
  </si>
  <si>
    <t>absolut</t>
  </si>
  <si>
    <t>Basis (100%): 160</t>
  </si>
  <si>
    <t>Basis (100%): 481</t>
  </si>
  <si>
    <t>Basis (100%): 510</t>
  </si>
  <si>
    <t>Basis (100%): 878</t>
  </si>
  <si>
    <t>Ein/e gute/r Bekannte/r oder Verwandte/r ist an den Folgen des Rauchens erkrankt oder gestorben.</t>
  </si>
  <si>
    <t>ein/e gute/r Bekannte/r oder Verwandte/r an den Folgen des Rauchens erkrankt oder gestorben ist.</t>
  </si>
  <si>
    <t>16-39 Jahre</t>
  </si>
  <si>
    <t>über 39 Jahre</t>
  </si>
  <si>
    <t>Basis:</t>
  </si>
  <si>
    <t>ab 16 Jahre</t>
  </si>
  <si>
    <t>Ich rauche und habe nie versucht mit dem Rauchen aufzuhören. 
Aufgrund meiner Erfahrungen denke ich, dass für eine erfolgreiche Raucherentwöhnung Folgendes wichtig ist:</t>
  </si>
  <si>
    <t>Zahl der Antworten insgesamt</t>
  </si>
  <si>
    <t>Vorgegebene Antworten</t>
  </si>
  <si>
    <t>Zahl der Antworten</t>
  </si>
  <si>
    <t>Nie-Raucher in Prozent</t>
  </si>
  <si>
    <t>Nie-Raucher in Fallzahlen</t>
  </si>
  <si>
    <t>Ex-Raucher in Prozent</t>
  </si>
  <si>
    <t>Ex-Raucher in Fallzahlen</t>
  </si>
  <si>
    <t>Nichtraucher in Fallzahlen</t>
  </si>
  <si>
    <t>Nichtraucher (Nie-R + Ex-R) in Prozent</t>
  </si>
  <si>
    <t>Raucher in Prozent</t>
  </si>
  <si>
    <t>Raucher in Fallzahlen</t>
  </si>
  <si>
    <t>Gruppe</t>
  </si>
  <si>
    <t>Jahresvergleich in Prozent</t>
  </si>
  <si>
    <t>Zigarettenkonsum</t>
  </si>
  <si>
    <t>in Prozent</t>
  </si>
  <si>
    <t>1-5 Zig./Tag</t>
  </si>
  <si>
    <t>6-15 Zig./Tag</t>
  </si>
  <si>
    <t>über 15 Zig./Tag</t>
  </si>
  <si>
    <t>insgesamt</t>
  </si>
  <si>
    <t>Probierer</t>
  </si>
  <si>
    <t>Änderungen 2015 gegenüber 2007</t>
  </si>
  <si>
    <t>Ich habe nie geraucht. Aufgrund meiner Erfahrungen 
mit Rauchern und Ex-Rauchern denke ich, 
dass für eine erfolgreiche Raucherentwöhnung Folgendes wichtig ist:</t>
  </si>
  <si>
    <t>Ein/e gute/r Bekannte/r oder Verwandte/r ist an den 
Folgen des Rauchens erkrankt oder gestorben.</t>
  </si>
  <si>
    <t>Ich rauche und habe nie versucht mit dem Rauchen aufzuhören. 
Aufgrund meiner Erfahrungen denke ich, 
dass für eine erfolgreiche Raucherentwöhnung Folgendes wichtig ist:</t>
  </si>
  <si>
    <t>Keine Angabe.</t>
  </si>
  <si>
    <t>Eine eigene schwere Erkrankung, die sehr motiviert.</t>
  </si>
  <si>
    <t xml:space="preserve">Eine eigene schwere Erkrankung, die sehr motiviert. </t>
  </si>
  <si>
    <t>Es den Bekannten zu zeigen, dass man willensstark 
ist.</t>
  </si>
  <si>
    <t>gel. bis 15 Zigaretten</t>
  </si>
  <si>
    <t>1 bis 5 Zigaretten</t>
  </si>
  <si>
    <t>6 bis 15 Zigaretten</t>
  </si>
  <si>
    <t>Entwicklung des täglichen Zigarettenkonsums</t>
  </si>
  <si>
    <t>Differenz</t>
  </si>
  <si>
    <t>(16-39) - (&gt;39)</t>
  </si>
  <si>
    <t>gel.-15 Zig./Tag</t>
  </si>
  <si>
    <t>Prozentpunkte</t>
  </si>
  <si>
    <t>(gel.-15) - (&gt;15)</t>
  </si>
  <si>
    <t>Differenz ≥ 5</t>
  </si>
  <si>
    <t>Fehlertoleranz ± 1,3 bis ± 2,2 Prozent</t>
  </si>
  <si>
    <t>Nichtraucher (Nie-R + Ex-R)</t>
  </si>
  <si>
    <t>Umfragejahr</t>
  </si>
  <si>
    <t>Umfrage 2007</t>
  </si>
  <si>
    <t>Umfrage 2011</t>
  </si>
  <si>
    <t>Umfrage 2013</t>
  </si>
  <si>
    <t>Umfrage 2015</t>
  </si>
  <si>
    <t>GfK-Classic Bus Juli/August 2015 
Studien-Nummer: 2015 - 073/081 
Basis: 2028 Fragebögen</t>
  </si>
  <si>
    <t>Basis: 2028 Fragebögen</t>
  </si>
  <si>
    <t>72,8%</t>
  </si>
  <si>
    <t>37,8%</t>
  </si>
  <si>
    <t>25,6%</t>
  </si>
  <si>
    <t>23,2%</t>
  </si>
  <si>
    <t>22,6%</t>
  </si>
  <si>
    <t>16,5%</t>
  </si>
  <si>
    <t>15,4%</t>
  </si>
  <si>
    <t>13,8%</t>
  </si>
  <si>
    <t>13,2%</t>
  </si>
  <si>
    <t>13,1%</t>
  </si>
  <si>
    <t>10,4%</t>
  </si>
  <si>
    <t>78,5%</t>
  </si>
  <si>
    <t>43,2%</t>
  </si>
  <si>
    <t>34,5%</t>
  </si>
  <si>
    <t>32,1%</t>
  </si>
  <si>
    <t>23,3%</t>
  </si>
  <si>
    <t>20,7%</t>
  </si>
  <si>
    <t>19,9%</t>
  </si>
  <si>
    <t>19,2%</t>
  </si>
  <si>
    <t>17,1%</t>
  </si>
  <si>
    <t>15,8%</t>
  </si>
  <si>
    <t>8,9%</t>
  </si>
  <si>
    <t>3,7%</t>
  </si>
  <si>
    <t>"Ich rauche und habe nie versucht mit dem Rauchen aufzuhören. Aufgrund meiner Erfahrungen denke ich, dass für eine erfolgreiche Raucherentwöhnung Folgendes wichtig ist:</t>
  </si>
  <si>
    <t>Nie-Raucher:</t>
  </si>
  <si>
    <t>Ein/e gute/r Bekannte/r oder Verwandte/r ist an den Folgen des 
Rauchens erkrankt oder gestorben.</t>
  </si>
  <si>
    <t>Raucher ohne
Aufhörversuch:</t>
  </si>
  <si>
    <t>"Ich habe nie geraucht. Aufgrund meiner Erfahrungen mit Rauchern und 
Ex-Rauchern denke ich, dass für eine erfolgreiche Raucherentwöhnung Folgendes wichtig ist:</t>
  </si>
  <si>
    <t>Ich rauche, habe jedoch mindestens einmal probiert 
mit dem Rauchen aufzuhören, es aber nicht geschafft, weil ...</t>
  </si>
  <si>
    <t>Ich rauche, habe jedoch mindestens einmal probiert mit dem Rauchen aufzuhören,
es aber nicht geschafft, weil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</si>
</sst>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49" fontId="0" fillId="0" borderId="0" xfId="0" applyNumberFormat="1" applyBorder="1"/>
    <xf numFmtId="1" fontId="4" fillId="0" borderId="0" xfId="0" applyNumberFormat="1" applyFont="1"/>
    <xf numFmtId="1" fontId="0" fillId="0" borderId="0" xfId="0" applyNumberFormat="1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wrapText="1"/>
    </xf>
    <xf numFmtId="0" fontId="1" fillId="0" borderId="0" xfId="0" applyFont="1" applyBorder="1"/>
    <xf numFmtId="164" fontId="0" fillId="0" borderId="0" xfId="1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2" fontId="6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5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65" fontId="4" fillId="0" borderId="1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" fontId="4" fillId="0" borderId="8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4" fillId="0" borderId="9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64" fontId="0" fillId="0" borderId="0" xfId="1" applyNumberFormat="1" applyFont="1" applyAlignment="1">
      <alignment vertical="center"/>
    </xf>
    <xf numFmtId="1" fontId="0" fillId="0" borderId="1" xfId="0" applyNumberFormat="1" applyBorder="1" applyAlignment="1">
      <alignment horizontal="right" vertical="center"/>
    </xf>
    <xf numFmtId="164" fontId="0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164" fontId="0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165" fontId="0" fillId="0" borderId="12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2" fontId="7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4" xfId="0" applyFont="1" applyBorder="1" applyAlignment="1">
      <alignment vertical="center"/>
    </xf>
    <xf numFmtId="2" fontId="7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0" fillId="0" borderId="15" xfId="0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164" fontId="7" fillId="0" borderId="0" xfId="0" applyNumberFormat="1" applyFont="1" applyAlignment="1">
      <alignment vertical="center"/>
    </xf>
    <xf numFmtId="164" fontId="0" fillId="0" borderId="0" xfId="0" applyNumberFormat="1"/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0" fillId="0" borderId="1" xfId="0" applyNumberFormat="1" applyBorder="1"/>
    <xf numFmtId="0" fontId="6" fillId="0" borderId="0" xfId="0" applyFont="1"/>
    <xf numFmtId="165" fontId="0" fillId="0" borderId="0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165" fontId="0" fillId="0" borderId="26" xfId="0" applyNumberForma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165" fontId="0" fillId="0" borderId="28" xfId="0" applyNumberFormat="1" applyFill="1" applyBorder="1" applyAlignment="1">
      <alignment vertical="center" wrapText="1"/>
    </xf>
    <xf numFmtId="165" fontId="0" fillId="0" borderId="28" xfId="0" applyNumberFormat="1" applyBorder="1" applyAlignment="1">
      <alignment vertical="center"/>
    </xf>
    <xf numFmtId="165" fontId="0" fillId="0" borderId="30" xfId="0" applyNumberFormat="1" applyBorder="1" applyAlignment="1">
      <alignment vertical="center"/>
    </xf>
    <xf numFmtId="165" fontId="0" fillId="2" borderId="27" xfId="0" applyNumberFormat="1" applyFill="1" applyBorder="1" applyAlignment="1">
      <alignment vertical="center"/>
    </xf>
    <xf numFmtId="165" fontId="0" fillId="0" borderId="27" xfId="0" applyNumberFormat="1" applyBorder="1" applyAlignment="1">
      <alignment vertical="center"/>
    </xf>
    <xf numFmtId="165" fontId="0" fillId="2" borderId="31" xfId="0" applyNumberFormat="1" applyFill="1" applyBorder="1" applyAlignment="1">
      <alignment vertical="center"/>
    </xf>
    <xf numFmtId="165" fontId="0" fillId="0" borderId="31" xfId="0" applyNumberFormat="1" applyBorder="1" applyAlignment="1">
      <alignment vertical="center"/>
    </xf>
    <xf numFmtId="0" fontId="0" fillId="0" borderId="0" xfId="0" applyFill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165" fontId="0" fillId="0" borderId="30" xfId="0" applyNumberFormat="1" applyBorder="1" applyAlignment="1">
      <alignment horizontal="right" vertical="center"/>
    </xf>
    <xf numFmtId="165" fontId="0" fillId="0" borderId="27" xfId="0" applyNumberFormat="1" applyBorder="1" applyAlignment="1">
      <alignment horizontal="right" vertical="center"/>
    </xf>
    <xf numFmtId="165" fontId="0" fillId="2" borderId="27" xfId="0" applyNumberFormat="1" applyFill="1" applyBorder="1" applyAlignment="1">
      <alignment horizontal="right" vertical="center"/>
    </xf>
    <xf numFmtId="165" fontId="0" fillId="0" borderId="31" xfId="0" applyNumberFormat="1" applyBorder="1" applyAlignment="1">
      <alignment horizontal="right" vertical="center"/>
    </xf>
    <xf numFmtId="165" fontId="0" fillId="0" borderId="31" xfId="0" applyNumberFormat="1" applyFill="1" applyBorder="1" applyAlignment="1">
      <alignment horizontal="right" vertical="center" wrapText="1"/>
    </xf>
    <xf numFmtId="165" fontId="0" fillId="2" borderId="30" xfId="0" applyNumberFormat="1" applyFill="1" applyBorder="1" applyAlignment="1">
      <alignment horizontal="right" vertical="center"/>
    </xf>
    <xf numFmtId="165" fontId="0" fillId="2" borderId="27" xfId="0" applyNumberFormat="1" applyFill="1" applyBorder="1" applyAlignment="1">
      <alignment horizontal="right" vertical="center" wrapText="1"/>
    </xf>
    <xf numFmtId="165" fontId="0" fillId="0" borderId="27" xfId="0" applyNumberFormat="1" applyFill="1" applyBorder="1" applyAlignment="1">
      <alignment horizontal="right" vertical="center" wrapText="1"/>
    </xf>
    <xf numFmtId="165" fontId="0" fillId="0" borderId="27" xfId="0" applyNumberFormat="1" applyFill="1" applyBorder="1" applyAlignment="1">
      <alignment horizontal="right" vertical="center"/>
    </xf>
    <xf numFmtId="165" fontId="0" fillId="2" borderId="31" xfId="0" applyNumberFormat="1" applyFill="1" applyBorder="1" applyAlignment="1">
      <alignment horizontal="right" vertical="center" wrapText="1"/>
    </xf>
    <xf numFmtId="164" fontId="0" fillId="0" borderId="0" xfId="0" applyNumberFormat="1" applyBorder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2" xfId="0" applyFont="1" applyBorder="1" applyAlignment="1">
      <alignment vertical="top" wrapText="1"/>
    </xf>
    <xf numFmtId="0" fontId="3" fillId="0" borderId="32" xfId="0" applyFont="1" applyBorder="1" applyAlignment="1">
      <alignment vertical="top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left" wrapText="1"/>
    </xf>
    <xf numFmtId="49" fontId="3" fillId="0" borderId="0" xfId="0" applyNumberFormat="1" applyFont="1"/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2" fontId="6" fillId="0" borderId="35" xfId="0" applyNumberFormat="1" applyFont="1" applyBorder="1" applyAlignment="1">
      <alignment horizontal="center" vertical="center" wrapText="1"/>
    </xf>
    <xf numFmtId="2" fontId="6" fillId="0" borderId="3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2" xfId="0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Rauchverhalten bei Personen ab 16 Jahren
im August 2015</a:t>
            </a:r>
          </a:p>
        </c:rich>
      </c:tx>
      <c:layout>
        <c:manualLayout>
          <c:xMode val="edge"/>
          <c:yMode val="edge"/>
          <c:x val="0.13828658972213628"/>
          <c:y val="4.0937207410477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6318306796877"/>
          <c:y val="0.33334510254848326"/>
          <c:w val="0.8544657129377764"/>
          <c:h val="0.362585901017648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18-4E93-9F69-9B65E3917C73}"/>
              </c:ext>
            </c:extLst>
          </c:dPt>
          <c:dPt>
            <c:idx val="1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18-4E93-9F69-9B65E3917C73}"/>
              </c:ext>
            </c:extLst>
          </c:dPt>
          <c:dPt>
            <c:idx val="2"/>
            <c:invertIfNegative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18-4E93-9F69-9B65E3917C73}"/>
              </c:ext>
            </c:extLst>
          </c:dPt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18-4E93-9F69-9B65E3917C73}"/>
              </c:ext>
            </c:extLst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18-4E93-9F69-9B65E3917C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Anteile'!$A$20:$A$23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Anteile'!$B$20:$B$23</c:f>
              <c:numCache>
                <c:formatCode>General</c:formatCode>
                <c:ptCount val="4"/>
                <c:pt idx="0">
                  <c:v>43.3</c:v>
                </c:pt>
                <c:pt idx="1">
                  <c:v>25.1</c:v>
                </c:pt>
                <c:pt idx="2">
                  <c:v>68.400000000000006</c:v>
                </c:pt>
                <c:pt idx="3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8-4E93-9F69-9B65E3917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83512463"/>
        <c:axId val="1"/>
      </c:barChart>
      <c:catAx>
        <c:axId val="583512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6201637459073075E-2"/>
              <c:y val="0.41521925987321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12463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Anteil der Nie-Raucher nach Altersgruppen</a:t>
            </a:r>
          </a:p>
        </c:rich>
      </c:tx>
      <c:layout>
        <c:manualLayout>
          <c:xMode val="edge"/>
          <c:yMode val="edge"/>
          <c:x val="0.20963841984341192"/>
          <c:y val="3.977384574087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6630187691842"/>
          <c:y val="0.26137180918773134"/>
          <c:w val="0.67140929314223963"/>
          <c:h val="0.42046769304113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Altersgruppen'!$A$213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Altersgruppen'!$B$212:$C$212</c:f>
              <c:strCache>
                <c:ptCount val="2"/>
                <c:pt idx="0">
                  <c:v>Alter
16-19</c:v>
                </c:pt>
                <c:pt idx="1">
                  <c:v>Alter
20-29</c:v>
                </c:pt>
              </c:strCache>
            </c:strRef>
          </c:cat>
          <c:val>
            <c:numRef>
              <c:f>'Frage 1 Altersgruppen'!$B$213:$C$213</c:f>
              <c:numCache>
                <c:formatCode>0.0</c:formatCode>
                <c:ptCount val="2"/>
                <c:pt idx="0">
                  <c:v>49.59349593495935</c:v>
                </c:pt>
                <c:pt idx="1">
                  <c:v>31.836734693877549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A-4078-9C89-19D891DA0DC1}"/>
            </c:ext>
          </c:extLst>
        </c:ser>
        <c:ser>
          <c:idx val="1"/>
          <c:order val="1"/>
          <c:tx>
            <c:strRef>
              <c:f>'Frage 1 Altersgruppen'!$A$214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Altersgruppen'!$B$212:$C$212</c:f>
              <c:strCache>
                <c:ptCount val="2"/>
                <c:pt idx="0">
                  <c:v>Alter
16-19</c:v>
                </c:pt>
                <c:pt idx="1">
                  <c:v>Alter
20-29</c:v>
                </c:pt>
              </c:strCache>
            </c:strRef>
          </c:cat>
          <c:val>
            <c:numRef>
              <c:f>'Frage 1 Altersgruppen'!$B$214:$C$214</c:f>
              <c:numCache>
                <c:formatCode>0.0</c:formatCode>
                <c:ptCount val="2"/>
                <c:pt idx="0">
                  <c:v>71.666666666666671</c:v>
                </c:pt>
                <c:pt idx="1">
                  <c:v>42.955326460481096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A-4078-9C89-19D891DA0DC1}"/>
            </c:ext>
          </c:extLst>
        </c:ser>
        <c:ser>
          <c:idx val="2"/>
          <c:order val="2"/>
          <c:tx>
            <c:strRef>
              <c:f>'Frage 1 Altersgruppen'!$A$215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Altersgruppen'!$B$212:$C$212</c:f>
              <c:strCache>
                <c:ptCount val="2"/>
                <c:pt idx="0">
                  <c:v>Alter
16-19</c:v>
                </c:pt>
                <c:pt idx="1">
                  <c:v>Alter
20-29</c:v>
                </c:pt>
              </c:strCache>
            </c:strRef>
          </c:cat>
          <c:val>
            <c:numRef>
              <c:f>'Frage 1 Altersgruppen'!$B$215:$C$215</c:f>
              <c:numCache>
                <c:formatCode>0.0</c:formatCode>
                <c:ptCount val="2"/>
                <c:pt idx="0">
                  <c:v>73.099999999999994</c:v>
                </c:pt>
                <c:pt idx="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A-4078-9C89-19D891DA0DC1}"/>
            </c:ext>
          </c:extLst>
        </c:ser>
        <c:ser>
          <c:idx val="3"/>
          <c:order val="3"/>
          <c:tx>
            <c:strRef>
              <c:f>'Frage 1 Altersgruppen'!$A$216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Altersgruppen'!$B$212:$C$212</c:f>
              <c:strCache>
                <c:ptCount val="2"/>
                <c:pt idx="0">
                  <c:v>Alter
16-19</c:v>
                </c:pt>
                <c:pt idx="1">
                  <c:v>Alter
20-29</c:v>
                </c:pt>
              </c:strCache>
            </c:strRef>
          </c:cat>
          <c:val>
            <c:numRef>
              <c:f>'Frage 1 Altersgruppen'!$B$216:$C$216</c:f>
              <c:numCache>
                <c:formatCode>0.0</c:formatCode>
                <c:ptCount val="2"/>
                <c:pt idx="0">
                  <c:v>74.900000000000006</c:v>
                </c:pt>
                <c:pt idx="1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A-4078-9C89-19D891DA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508303"/>
        <c:axId val="1"/>
      </c:barChart>
      <c:catAx>
        <c:axId val="583508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97459719093187E-2"/>
              <c:y val="0.386375566690527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08303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wMode val="edge"/>
          <c:hMode val="edge"/>
          <c:x val="0.83572044641728571"/>
          <c:y val="0.32955589358148413"/>
          <c:w val="0.98445030596387917"/>
          <c:h val="0.673316705440229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Was ist wichtig für eine erfolgreiche Raucherentwöhnung?</a:t>
            </a:r>
          </a:p>
        </c:rich>
      </c:tx>
      <c:layout>
        <c:manualLayout>
          <c:xMode val="edge"/>
          <c:yMode val="edge"/>
          <c:x val="0.1202638605710581"/>
          <c:y val="3.4344494816935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2331012298525759"/>
          <c:y val="0.18788453710435551"/>
          <c:w val="0.44313424492954523"/>
          <c:h val="0.64850469258600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'Frage 2 R+Nie-R'!$C$21</c:f>
              <c:strCache>
                <c:ptCount val="1"/>
                <c:pt idx="0">
                  <c:v>Nie-Raucher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2 R+Nie-R'!$B$22:$B$27</c:f>
              <c:strCache>
                <c:ptCount val="6"/>
                <c:pt idx="0">
                  <c:v>Eine erhebliche Änderung der Lebensgestaltung.</c:v>
                </c:pt>
                <c:pt idx="1">
                  <c:v>Unterstützung von Familie, FreundInnen oder KollegInnen.</c:v>
                </c:pt>
                <c:pt idx="2">
                  <c:v>Tabakrauch als Gestank zu empfinden.</c:v>
                </c:pt>
                <c:pt idx="3">
                  <c:v>Rauchen richtig satt zu haben.</c:v>
                </c:pt>
                <c:pt idx="4">
                  <c:v>Eine eigene schwere Erkrankung, die sehr motiviert.</c:v>
                </c:pt>
                <c:pt idx="5">
                  <c:v>Ein starker Wille.</c:v>
                </c:pt>
              </c:strCache>
            </c:strRef>
          </c:cat>
          <c:val>
            <c:numRef>
              <c:f>'Frage 2 R+Nie-R'!$C$22:$C$27</c:f>
              <c:numCache>
                <c:formatCode>0.0%</c:formatCode>
                <c:ptCount val="6"/>
                <c:pt idx="0">
                  <c:v>0.23300000000000001</c:v>
                </c:pt>
                <c:pt idx="1">
                  <c:v>0.432</c:v>
                </c:pt>
                <c:pt idx="2">
                  <c:v>0.32100000000000001</c:v>
                </c:pt>
                <c:pt idx="3">
                  <c:v>0.20699999999999999</c:v>
                </c:pt>
                <c:pt idx="4">
                  <c:v>0.34499999999999997</c:v>
                </c:pt>
                <c:pt idx="5">
                  <c:v>0.78500000000000003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E95-9A17-DAFCBC7150F6}"/>
            </c:ext>
          </c:extLst>
        </c:ser>
        <c:ser>
          <c:idx val="1"/>
          <c:order val="1"/>
          <c:tx>
            <c:strRef>
              <c:f>'Frage 2 R+Nie-R'!$D$21</c:f>
              <c:strCache>
                <c:ptCount val="1"/>
                <c:pt idx="0">
                  <c:v>Raucher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2 R+Nie-R'!$B$22:$B$27</c:f>
              <c:strCache>
                <c:ptCount val="6"/>
                <c:pt idx="0">
                  <c:v>Eine erhebliche Änderung der Lebensgestaltung.</c:v>
                </c:pt>
                <c:pt idx="1">
                  <c:v>Unterstützung von Familie, FreundInnen oder KollegInnen.</c:v>
                </c:pt>
                <c:pt idx="2">
                  <c:v>Tabakrauch als Gestank zu empfinden.</c:v>
                </c:pt>
                <c:pt idx="3">
                  <c:v>Rauchen richtig satt zu haben.</c:v>
                </c:pt>
                <c:pt idx="4">
                  <c:v>Eine eigene schwere Erkrankung, die sehr motiviert.</c:v>
                </c:pt>
                <c:pt idx="5">
                  <c:v>Ein starker Wille.</c:v>
                </c:pt>
              </c:strCache>
            </c:strRef>
          </c:cat>
          <c:val>
            <c:numRef>
              <c:f>'Frage 2 R+Nie-R'!$D$22:$D$27</c:f>
              <c:numCache>
                <c:formatCode>0.0%</c:formatCode>
                <c:ptCount val="6"/>
                <c:pt idx="0">
                  <c:v>0.22600000000000001</c:v>
                </c:pt>
                <c:pt idx="1">
                  <c:v>0.23200000000000001</c:v>
                </c:pt>
                <c:pt idx="2">
                  <c:v>0.25600000000000001</c:v>
                </c:pt>
                <c:pt idx="3">
                  <c:v>0.378</c:v>
                </c:pt>
                <c:pt idx="4">
                  <c:v>0.4</c:v>
                </c:pt>
                <c:pt idx="5">
                  <c:v>0.72799999999999998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0-4E95-9A17-DAFCBC71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336783"/>
        <c:axId val="1"/>
      </c:barChart>
      <c:catAx>
        <c:axId val="58133678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1336783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008960282998219"/>
          <c:y val="0.43637689228240406"/>
          <c:w val="0.97186169713617876"/>
          <c:h val="0.5757750735703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Was ist wichtig für eine erfolgreiche Raucherentwöhnung?</a:t>
            </a:r>
          </a:p>
        </c:rich>
      </c:tx>
      <c:layout>
        <c:manualLayout>
          <c:xMode val="edge"/>
          <c:yMode val="edge"/>
          <c:x val="0.13661039168396372"/>
          <c:y val="3.977384574087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567868502524077"/>
          <c:y val="0.24148482370605615"/>
          <c:w val="0.51549092291815712"/>
          <c:h val="0.514220624597601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'Frage 2 R+Nie-R'!$C$56</c:f>
              <c:strCache>
                <c:ptCount val="1"/>
                <c:pt idx="0">
                  <c:v>Nie-Raucher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'Frage 2 R+Nie-R'!$B$57:$B$58</c:f>
              <c:strCache>
                <c:ptCount val="2"/>
                <c:pt idx="0">
                  <c:v>Eine eigene schwere Erkrankung, die sehr motiviert.</c:v>
                </c:pt>
                <c:pt idx="1">
                  <c:v>Ein starker Wille.</c:v>
                </c:pt>
              </c:strCache>
            </c:strRef>
          </c:cat>
          <c:val>
            <c:numRef>
              <c:f>'Frage 2 R+Nie-R'!$C$57:$C$58</c:f>
              <c:numCache>
                <c:formatCode>0.0%</c:formatCode>
                <c:ptCount val="2"/>
                <c:pt idx="0">
                  <c:v>0.34499999999999997</c:v>
                </c:pt>
                <c:pt idx="1">
                  <c:v>0.78500000000000003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1-4AFA-AEB6-88AD39F53D74}"/>
            </c:ext>
          </c:extLst>
        </c:ser>
        <c:ser>
          <c:idx val="1"/>
          <c:order val="1"/>
          <c:tx>
            <c:strRef>
              <c:f>'Frage 2 R+Nie-R'!$D$56</c:f>
              <c:strCache>
                <c:ptCount val="1"/>
                <c:pt idx="0">
                  <c:v>Raucher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'Frage 2 R+Nie-R'!$B$57:$B$58</c:f>
              <c:strCache>
                <c:ptCount val="2"/>
                <c:pt idx="0">
                  <c:v>Eine eigene schwere Erkrankung, die sehr motiviert.</c:v>
                </c:pt>
                <c:pt idx="1">
                  <c:v>Ein starker Wille.</c:v>
                </c:pt>
              </c:strCache>
            </c:strRef>
          </c:cat>
          <c:val>
            <c:numRef>
              <c:f>'Frage 2 R+Nie-R'!$D$57:$D$58</c:f>
              <c:numCache>
                <c:formatCode>0.0%</c:formatCode>
                <c:ptCount val="2"/>
                <c:pt idx="0">
                  <c:v>0.4</c:v>
                </c:pt>
                <c:pt idx="1">
                  <c:v>0.72799999999999998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1-4AFA-AEB6-88AD39F53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332207"/>
        <c:axId val="1"/>
      </c:barChart>
      <c:catAx>
        <c:axId val="58133220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1332207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05722737165853"/>
          <c:y val="0.50285656764495346"/>
          <c:w val="0.14835040630593532"/>
          <c:h val="0.16193703769983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Rauchverhalten bei Personen ab 16 Jahren
im Jahresvergleich</a:t>
            </a:r>
          </a:p>
        </c:rich>
      </c:tx>
      <c:layout>
        <c:manualLayout>
          <c:xMode val="edge"/>
          <c:yMode val="edge"/>
          <c:x val="0.17097719796095598"/>
          <c:y val="3.85617607567691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441875473417"/>
          <c:y val="0.27250287279062652"/>
          <c:w val="0.77001254282898335"/>
          <c:h val="0.426749781917396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Anteile'!$B$40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Anteile'!$A$41:$A$44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Anteile'!$B$41:$B$44</c:f>
              <c:numCache>
                <c:formatCode>0.0</c:formatCode>
                <c:ptCount val="4"/>
                <c:pt idx="0">
                  <c:v>38.700000000000003</c:v>
                </c:pt>
                <c:pt idx="1">
                  <c:v>26.1</c:v>
                </c:pt>
                <c:pt idx="2">
                  <c:v>64.8</c:v>
                </c:pt>
                <c:pt idx="3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2-47CB-8ADE-39752A79A5DF}"/>
            </c:ext>
          </c:extLst>
        </c:ser>
        <c:ser>
          <c:idx val="1"/>
          <c:order val="1"/>
          <c:tx>
            <c:strRef>
              <c:f>'Frage 1 Anteile'!$C$40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Anteile'!$A$41:$A$44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Anteile'!$C$41:$C$44</c:f>
              <c:numCache>
                <c:formatCode>0.0</c:formatCode>
                <c:ptCount val="4"/>
                <c:pt idx="0">
                  <c:v>42.5</c:v>
                </c:pt>
                <c:pt idx="1">
                  <c:v>28.5</c:v>
                </c:pt>
                <c:pt idx="2">
                  <c:v>71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2-47CB-8ADE-39752A79A5DF}"/>
            </c:ext>
          </c:extLst>
        </c:ser>
        <c:ser>
          <c:idx val="2"/>
          <c:order val="2"/>
          <c:tx>
            <c:strRef>
              <c:f>'Frage 1 Anteile'!$D$40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Anteile'!$A$41:$A$44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Anteile'!$D$41:$D$44</c:f>
              <c:numCache>
                <c:formatCode>0.0</c:formatCode>
                <c:ptCount val="4"/>
                <c:pt idx="0">
                  <c:v>45.1</c:v>
                </c:pt>
                <c:pt idx="1">
                  <c:v>23.2</c:v>
                </c:pt>
                <c:pt idx="2">
                  <c:v>68.3</c:v>
                </c:pt>
                <c:pt idx="3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2-47CB-8ADE-39752A79A5DF}"/>
            </c:ext>
          </c:extLst>
        </c:ser>
        <c:ser>
          <c:idx val="3"/>
          <c:order val="3"/>
          <c:tx>
            <c:strRef>
              <c:f>'Frage 1 Anteile'!$E$40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E52-47CB-8ADE-39752A79A5DF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Anteile'!$A$41:$A$44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Anteile'!$E$41:$E$44</c:f>
              <c:numCache>
                <c:formatCode>General</c:formatCode>
                <c:ptCount val="4"/>
                <c:pt idx="0">
                  <c:v>43.3</c:v>
                </c:pt>
                <c:pt idx="1">
                  <c:v>25.1</c:v>
                </c:pt>
                <c:pt idx="2">
                  <c:v>68.400000000000006</c:v>
                </c:pt>
                <c:pt idx="3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2-47CB-8ADE-39752A79A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514543"/>
        <c:axId val="1"/>
      </c:barChart>
      <c:catAx>
        <c:axId val="58351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1.7220656458533091E-2"/>
              <c:y val="0.39332968982990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14543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670786077939524"/>
          <c:y val="0.42160833687562832"/>
          <c:w val="0.98650166422924079"/>
          <c:h val="0.701823438522626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Raucher und Ex-Raucher
nach täglichem Zigarettenkonsum</a:t>
            </a:r>
          </a:p>
        </c:rich>
      </c:tx>
      <c:layout>
        <c:manualLayout>
          <c:xMode val="edge"/>
          <c:yMode val="edge"/>
          <c:x val="0.2023112907941565"/>
          <c:y val="3.8266645240773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4060280561611"/>
          <c:y val="0.34439849767864539"/>
          <c:w val="0.69400451911826588"/>
          <c:h val="0.36990949750669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Anteile'!$B$75</c:f>
              <c:strCache>
                <c:ptCount val="1"/>
                <c:pt idx="0">
                  <c:v>Raucher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E1-47C3-B552-7235421C1F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7E1-47C3-B552-7235421C1F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7E1-47C3-B552-7235421C1F35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13188646765531623"/>
                  <c:y val="0.5688952961654659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E1-47C3-B552-7235421C1F3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7145564216434021"/>
                  <c:y val="0.573997496131075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E1-47C3-B552-7235421C1F3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41230526781564875"/>
                  <c:y val="0.456646896922055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E1-47C3-B552-7235421C1F3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4675263775553418"/>
                  <c:y val="0.329091897781816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E1-47C3-B552-7235421C1F3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7E1-47C3-B552-7235421C1F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Anteile'!$A$77:$A$81</c:f>
              <c:strCache>
                <c:ptCount val="5"/>
                <c:pt idx="0">
                  <c:v>gelegentlich</c:v>
                </c:pt>
                <c:pt idx="1">
                  <c:v>1 bis 5 Zigaretten</c:v>
                </c:pt>
                <c:pt idx="2">
                  <c:v>6 bis 15 Zigaretten</c:v>
                </c:pt>
                <c:pt idx="3">
                  <c:v>gel. bis 15 Zigaretten</c:v>
                </c:pt>
                <c:pt idx="4">
                  <c:v>über 15 Zigaretten</c:v>
                </c:pt>
              </c:strCache>
            </c:strRef>
          </c:cat>
          <c:val>
            <c:numRef>
              <c:f>'Frage 1 Anteile'!$B$77:$B$81</c:f>
              <c:numCache>
                <c:formatCode>0.0</c:formatCode>
                <c:ptCount val="5"/>
                <c:pt idx="0">
                  <c:v>14.0625</c:v>
                </c:pt>
                <c:pt idx="1">
                  <c:v>12.5</c:v>
                </c:pt>
                <c:pt idx="2">
                  <c:v>37.8125</c:v>
                </c:pt>
                <c:pt idx="3">
                  <c:v>64.375</c:v>
                </c:pt>
                <c:pt idx="4">
                  <c:v>35.78125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E1-47C3-B552-7235421C1F35}"/>
            </c:ext>
          </c:extLst>
        </c:ser>
        <c:ser>
          <c:idx val="1"/>
          <c:order val="1"/>
          <c:tx>
            <c:strRef>
              <c:f>'Frage 1 Anteile'!$C$75</c:f>
              <c:strCache>
                <c:ptCount val="1"/>
                <c:pt idx="0">
                  <c:v>Ex-Raucher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7E1-47C3-B552-7235421C1F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7E1-47C3-B552-7235421C1F35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17798270877756267"/>
                  <c:y val="0.507668896578151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E1-47C3-B552-7235421C1F3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31883233442887121"/>
                  <c:y val="0.55103759628583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E1-47C3-B552-7235421C1F3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4622428623647491"/>
                  <c:y val="0.502566696612541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E1-47C3-B552-7235421C1F3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9284887887778059"/>
                  <c:y val="0.293376498022549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E1-47C3-B552-7235421C1F3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3625940681365853"/>
                  <c:y val="0.502566696612541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E1-47C3-B552-7235421C1F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Anteile'!$A$77:$A$81</c:f>
              <c:strCache>
                <c:ptCount val="5"/>
                <c:pt idx="0">
                  <c:v>gelegentlich</c:v>
                </c:pt>
                <c:pt idx="1">
                  <c:v>1 bis 5 Zigaretten</c:v>
                </c:pt>
                <c:pt idx="2">
                  <c:v>6 bis 15 Zigaretten</c:v>
                </c:pt>
                <c:pt idx="3">
                  <c:v>gel. bis 15 Zigaretten</c:v>
                </c:pt>
                <c:pt idx="4">
                  <c:v>über 15 Zigaretten</c:v>
                </c:pt>
              </c:strCache>
            </c:strRef>
          </c:cat>
          <c:val>
            <c:numRef>
              <c:f>'Frage 1 Anteile'!$C$77:$C$81</c:f>
              <c:numCache>
                <c:formatCode>0.0</c:formatCode>
                <c:ptCount val="5"/>
                <c:pt idx="0">
                  <c:v>25.882352941176475</c:v>
                </c:pt>
                <c:pt idx="1">
                  <c:v>17.843137254901961</c:v>
                </c:pt>
                <c:pt idx="2">
                  <c:v>28.823529411764703</c:v>
                </c:pt>
                <c:pt idx="3">
                  <c:v>72.54901960784315</c:v>
                </c:pt>
                <c:pt idx="4">
                  <c:v>27.450980392156865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E1-47C3-B552-7235421C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513711"/>
        <c:axId val="1"/>
      </c:barChart>
      <c:catAx>
        <c:axId val="583513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6889444517258644E-2"/>
              <c:y val="0.436238215758744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13711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845181324165462"/>
          <c:y val="0.50766879586480262"/>
          <c:w val="0.99234963587298064"/>
          <c:h val="0.64797927044833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Rauchverhalten bei Personen ab 16 Jahren im Jahresvergleich</a:t>
            </a:r>
          </a:p>
        </c:rich>
      </c:tx>
      <c:layout>
        <c:manualLayout>
          <c:xMode val="edge"/>
          <c:yMode val="edge"/>
          <c:x val="0.15409300252562769"/>
          <c:y val="3.977384574087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3115253567584"/>
          <c:y val="0.28694079052131377"/>
          <c:w val="0.75945856639496168"/>
          <c:h val="0.40058070755945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Anteile'!$B$148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352731036247622"/>
                  <c:y val="0.4119446992632722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B-48BA-A808-E42DD2C65E33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35064029048877104"/>
                  <c:y val="0.477287651560205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B-48BA-A808-E42DD2C65E3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4561516053633885"/>
                  <c:y val="0.28409979259536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B-48BA-A808-E42DD2C65E33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3901765259965213"/>
                  <c:y val="0.4204676930411330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B-48BA-A808-E42DD2C65E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Anteile'!$A$149:$A$152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Anteile'!$B$149:$B$152</c:f>
              <c:numCache>
                <c:formatCode>0.0</c:formatCode>
                <c:ptCount val="4"/>
                <c:pt idx="0">
                  <c:v>38.700000000000003</c:v>
                </c:pt>
                <c:pt idx="1">
                  <c:v>26.1</c:v>
                </c:pt>
                <c:pt idx="2">
                  <c:v>64.8</c:v>
                </c:pt>
                <c:pt idx="3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8B-48BA-A808-E42DD2C65E33}"/>
            </c:ext>
          </c:extLst>
        </c:ser>
        <c:ser>
          <c:idx val="1"/>
          <c:order val="1"/>
          <c:tx>
            <c:strRef>
              <c:f>'Frage 1 Anteile'!$C$148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24371858755945977"/>
                  <c:y val="0.39773970963350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B-48BA-A808-E42DD2C65E33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3083156768575465"/>
                  <c:y val="0.48581064533806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B-48BA-A808-E42DD2C65E3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2580643773332234"/>
                  <c:y val="0.2642128071136849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B-48BA-A808-E42DD2C65E33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0820228390685356"/>
                  <c:y val="0.4488776723006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B-48BA-A808-E42DD2C65E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Anteile'!$A$149:$A$152</c:f>
              <c:strCache>
                <c:ptCount val="4"/>
                <c:pt idx="0">
                  <c:v>Nie-Raucher</c:v>
                </c:pt>
                <c:pt idx="1">
                  <c:v>Ex-Raucher</c:v>
                </c:pt>
                <c:pt idx="2">
                  <c:v>Nichtraucher (Nie-R + Ex-R)</c:v>
                </c:pt>
                <c:pt idx="3">
                  <c:v>Raucher</c:v>
                </c:pt>
              </c:strCache>
            </c:strRef>
          </c:cat>
          <c:val>
            <c:numRef>
              <c:f>'Frage 1 Anteile'!$C$149:$C$152</c:f>
              <c:numCache>
                <c:formatCode>General</c:formatCode>
                <c:ptCount val="4"/>
                <c:pt idx="0">
                  <c:v>43.3</c:v>
                </c:pt>
                <c:pt idx="1">
                  <c:v>25.1</c:v>
                </c:pt>
                <c:pt idx="2">
                  <c:v>68.400000000000006</c:v>
                </c:pt>
                <c:pt idx="3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8B-48BA-A808-E42DD2C65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507887"/>
        <c:axId val="1"/>
      </c:barChart>
      <c:catAx>
        <c:axId val="58350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4.5598928671651891E-2"/>
              <c:y val="0.389216848604151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07887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4807936743756"/>
          <c:y val="0.24716692018611311"/>
          <c:w val="0.97959152511596415"/>
          <c:h val="0.40342176688141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Anteil der Nie-Raucher nach Altersgruppen</a:t>
            </a:r>
          </a:p>
        </c:rich>
      </c:tx>
      <c:layout>
        <c:manualLayout>
          <c:xMode val="edge"/>
          <c:yMode val="edge"/>
          <c:x val="0.25199193850768653"/>
          <c:y val="3.5088870470138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41027714719817E-2"/>
          <c:y val="0.1864093118900666"/>
          <c:w val="0.79367523095599835"/>
          <c:h val="0.5789653922232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Altersgruppen'!$B$7:$H$7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Altersgruppen'!$B$8:$H$8</c:f>
              <c:numCache>
                <c:formatCode>0.0</c:formatCode>
                <c:ptCount val="7"/>
                <c:pt idx="0">
                  <c:v>49.59349593495935</c:v>
                </c:pt>
                <c:pt idx="1">
                  <c:v>31.836734693877549</c:v>
                </c:pt>
                <c:pt idx="2">
                  <c:v>38.509316770186338</c:v>
                </c:pt>
                <c:pt idx="3">
                  <c:v>32.880434782608695</c:v>
                </c:pt>
                <c:pt idx="4">
                  <c:v>33.788395904436861</c:v>
                </c:pt>
                <c:pt idx="5">
                  <c:v>38.650306748466257</c:v>
                </c:pt>
                <c:pt idx="6">
                  <c:v>51.973684210526315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6-42DD-9420-A5CD29138239}"/>
            </c:ext>
          </c:extLst>
        </c:ser>
        <c:ser>
          <c:idx val="1"/>
          <c:order val="1"/>
          <c:tx>
            <c:strRef>
              <c:f>'Frage 1 Altersgruppen'!$A$9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Altersgruppen'!$B$7:$H$7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Altersgruppen'!$B$9:$H$9</c:f>
              <c:numCache>
                <c:formatCode>0.0</c:formatCode>
                <c:ptCount val="7"/>
                <c:pt idx="0">
                  <c:v>71.666666666666671</c:v>
                </c:pt>
                <c:pt idx="1">
                  <c:v>42.955326460481096</c:v>
                </c:pt>
                <c:pt idx="2">
                  <c:v>33.779264214046819</c:v>
                </c:pt>
                <c:pt idx="3">
                  <c:v>34.382566585956411</c:v>
                </c:pt>
                <c:pt idx="4">
                  <c:v>33.529411764705877</c:v>
                </c:pt>
                <c:pt idx="5">
                  <c:v>44.067796610169488</c:v>
                </c:pt>
                <c:pt idx="6">
                  <c:v>56.97674418604651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6-42DD-9420-A5CD29138239}"/>
            </c:ext>
          </c:extLst>
        </c:ser>
        <c:ser>
          <c:idx val="2"/>
          <c:order val="2"/>
          <c:tx>
            <c:strRef>
              <c:f>'Frage 1 Altersgruppen'!$A$10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FE6-42DD-9420-A5CD291382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Altersgruppen'!$B$7:$H$7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Altersgruppen'!$B$10:$H$10</c:f>
              <c:numCache>
                <c:formatCode>0.0</c:formatCode>
                <c:ptCount val="7"/>
                <c:pt idx="0">
                  <c:v>73.099999999999994</c:v>
                </c:pt>
                <c:pt idx="1">
                  <c:v>43.5</c:v>
                </c:pt>
                <c:pt idx="2">
                  <c:v>39.1</c:v>
                </c:pt>
                <c:pt idx="3">
                  <c:v>42.1</c:v>
                </c:pt>
                <c:pt idx="4">
                  <c:v>34.9</c:v>
                </c:pt>
                <c:pt idx="5">
                  <c:v>38.299999999999997</c:v>
                </c:pt>
                <c:pt idx="6">
                  <c:v>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6-42DD-9420-A5CD29138239}"/>
            </c:ext>
          </c:extLst>
        </c:ser>
        <c:ser>
          <c:idx val="3"/>
          <c:order val="3"/>
          <c:tx>
            <c:strRef>
              <c:f>'Frage 1 Altersgruppen'!$A$11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Altersgruppen'!$B$7:$H$7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Altersgruppen'!$B$11:$H$11</c:f>
              <c:numCache>
                <c:formatCode>0.0</c:formatCode>
                <c:ptCount val="7"/>
                <c:pt idx="0">
                  <c:v>74.900000000000006</c:v>
                </c:pt>
                <c:pt idx="1">
                  <c:v>50.3</c:v>
                </c:pt>
                <c:pt idx="2">
                  <c:v>36.9</c:v>
                </c:pt>
                <c:pt idx="3">
                  <c:v>37.1</c:v>
                </c:pt>
                <c:pt idx="4">
                  <c:v>37.299999999999997</c:v>
                </c:pt>
                <c:pt idx="5">
                  <c:v>36.5</c:v>
                </c:pt>
                <c:pt idx="6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6-42DD-9420-A5CD2913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5431551"/>
        <c:axId val="1"/>
      </c:barChart>
      <c:catAx>
        <c:axId val="575431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1.9841920801566472E-2"/>
              <c:y val="0.390362964497858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5431551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669491834354033"/>
          <c:y val="0.41010038218906841"/>
          <c:w val="0.99110202370537015"/>
          <c:h val="0.657915170143205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Anteil der Ex-Raucher nach Altersgruppen</a:t>
            </a:r>
          </a:p>
        </c:rich>
      </c:tx>
      <c:layout>
        <c:manualLayout>
          <c:xMode val="edge"/>
          <c:yMode val="edge"/>
          <c:x val="0.25740473269243713"/>
          <c:y val="3.5886423287998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677597988989531E-2"/>
          <c:y val="0.2009634228452033"/>
          <c:w val="0.80475958290641081"/>
          <c:h val="0.53351003922000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Altersgruppen'!$A$47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C-4015-B606-9EAB46E2A80D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Altersgruppen'!$B$46:$H$46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Altersgruppen'!$B$47:$H$47</c:f>
              <c:numCache>
                <c:formatCode>0.0</c:formatCode>
                <c:ptCount val="7"/>
                <c:pt idx="0">
                  <c:v>7.3170731707317067</c:v>
                </c:pt>
                <c:pt idx="1">
                  <c:v>14.285714285714285</c:v>
                </c:pt>
                <c:pt idx="2">
                  <c:v>17.080745341614907</c:v>
                </c:pt>
                <c:pt idx="3">
                  <c:v>23.641304347826086</c:v>
                </c:pt>
                <c:pt idx="4">
                  <c:v>30.716723549488055</c:v>
                </c:pt>
                <c:pt idx="5">
                  <c:v>38.343558282208591</c:v>
                </c:pt>
                <c:pt idx="6">
                  <c:v>38.486842105263158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C-4015-B606-9EAB46E2A80D}"/>
            </c:ext>
          </c:extLst>
        </c:ser>
        <c:ser>
          <c:idx val="1"/>
          <c:order val="1"/>
          <c:tx>
            <c:strRef>
              <c:f>'Frage 1 Altersgruppen'!$A$48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3C-4015-B606-9EAB46E2A80D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Altersgruppen'!$B$46:$H$46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Altersgruppen'!$B$48:$H$48</c:f>
              <c:numCache>
                <c:formatCode>0.0</c:formatCode>
                <c:ptCount val="7"/>
                <c:pt idx="0">
                  <c:v>7.3</c:v>
                </c:pt>
                <c:pt idx="1">
                  <c:v>19.899999999999999</c:v>
                </c:pt>
                <c:pt idx="2">
                  <c:v>25.2</c:v>
                </c:pt>
                <c:pt idx="3">
                  <c:v>23.857869249394671</c:v>
                </c:pt>
                <c:pt idx="4">
                  <c:v>34.9</c:v>
                </c:pt>
                <c:pt idx="5">
                  <c:v>40.6</c:v>
                </c:pt>
                <c:pt idx="6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C-4015-B606-9EAB46E2A80D}"/>
            </c:ext>
          </c:extLst>
        </c:ser>
        <c:ser>
          <c:idx val="2"/>
          <c:order val="2"/>
          <c:tx>
            <c:strRef>
              <c:f>'Frage 1 Altersgruppen'!$A$49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4891997183684808"/>
                  <c:y val="0.63638417234314359"/>
                </c:manualLayout>
              </c:layout>
              <c:tx>
                <c:rich>
                  <a:bodyPr rot="-5400000" vert="horz"/>
                  <a:lstStyle/>
                  <a:p>
                    <a:pPr algn="ctr">
                      <a:defRPr sz="1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DE"/>
                      <a:t>1,6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3C-4015-B606-9EAB46E2A80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3C-4015-B606-9EAB46E2A80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43C-4015-B606-9EAB46E2A80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3C-4015-B606-9EAB46E2A80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43C-4015-B606-9EAB46E2A80D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Altersgruppen'!$B$46:$H$46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Altersgruppen'!$B$49:$H$49</c:f>
              <c:numCache>
                <c:formatCode>0.0</c:formatCode>
                <c:ptCount val="7"/>
                <c:pt idx="0">
                  <c:v>1.6</c:v>
                </c:pt>
                <c:pt idx="1">
                  <c:v>9.6999999999999993</c:v>
                </c:pt>
                <c:pt idx="2">
                  <c:v>22.6</c:v>
                </c:pt>
                <c:pt idx="3">
                  <c:v>21.6</c:v>
                </c:pt>
                <c:pt idx="4">
                  <c:v>26.3</c:v>
                </c:pt>
                <c:pt idx="5">
                  <c:v>37.299999999999997</c:v>
                </c:pt>
                <c:pt idx="6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3C-4015-B606-9EAB46E2A80D}"/>
            </c:ext>
          </c:extLst>
        </c:ser>
        <c:ser>
          <c:idx val="3"/>
          <c:order val="3"/>
          <c:tx>
            <c:strRef>
              <c:f>'Frage 1 Altersgruppen'!$A$50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Altersgruppen'!$B$46:$H$46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Altersgruppen'!$B$50:$H$50</c:f>
              <c:numCache>
                <c:formatCode>0.0</c:formatCode>
                <c:ptCount val="7"/>
                <c:pt idx="0">
                  <c:v>1.8</c:v>
                </c:pt>
                <c:pt idx="1">
                  <c:v>9.5</c:v>
                </c:pt>
                <c:pt idx="2">
                  <c:v>22.1</c:v>
                </c:pt>
                <c:pt idx="3">
                  <c:v>24.1</c:v>
                </c:pt>
                <c:pt idx="4">
                  <c:v>22.7</c:v>
                </c:pt>
                <c:pt idx="5">
                  <c:v>38.200000000000003</c:v>
                </c:pt>
                <c:pt idx="6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3C-4015-B606-9EAB46E2A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5432799"/>
        <c:axId val="1"/>
      </c:barChart>
      <c:catAx>
        <c:axId val="57543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3669415583407103E-2"/>
              <c:y val="0.373217671953685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5432799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718927145941087"/>
          <c:y val="0.39714205879767417"/>
          <c:w val="0.99115609809128902"/>
          <c:h val="0.66748577779452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Anteil der Nichtraucher nach Altersgruppen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4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(Nie-Raucher + Ex-Raucher)</a:t>
            </a:r>
          </a:p>
        </c:rich>
      </c:tx>
      <c:layout>
        <c:manualLayout>
          <c:xMode val="edge"/>
          <c:yMode val="edge"/>
          <c:x val="0.25196876125778395"/>
          <c:y val="3.6497627577574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2274482825732E-2"/>
          <c:y val="0.20925261999421013"/>
          <c:w val="0.79414280505830126"/>
          <c:h val="0.5182652099856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Altersgruppen'!$A$84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3E-47D2-B857-93C17DE75B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Altersgruppen'!$B$83:$H$83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Altersgruppen'!$B$84:$H$84</c:f>
              <c:numCache>
                <c:formatCode>0.0</c:formatCode>
                <c:ptCount val="7"/>
                <c:pt idx="0">
                  <c:v>56.910569105691053</c:v>
                </c:pt>
                <c:pt idx="1">
                  <c:v>46.122448979591837</c:v>
                </c:pt>
                <c:pt idx="2">
                  <c:v>55.590062111801245</c:v>
                </c:pt>
                <c:pt idx="3">
                  <c:v>56.521739130434781</c:v>
                </c:pt>
                <c:pt idx="4">
                  <c:v>64.50511945392492</c:v>
                </c:pt>
                <c:pt idx="5">
                  <c:v>76.99386503067484</c:v>
                </c:pt>
                <c:pt idx="6">
                  <c:v>90.46052631578948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E-47D2-B857-93C17DE75B2B}"/>
            </c:ext>
          </c:extLst>
        </c:ser>
        <c:ser>
          <c:idx val="1"/>
          <c:order val="1"/>
          <c:tx>
            <c:strRef>
              <c:f>'Frage 1 Altersgruppen'!$A$85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3E-47D2-B857-93C17DE75B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Altersgruppen'!$B$83:$H$83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Altersgruppen'!$B$85:$H$85</c:f>
              <c:numCache>
                <c:formatCode>0.0</c:formatCode>
                <c:ptCount val="7"/>
                <c:pt idx="0">
                  <c:v>78.966666666666669</c:v>
                </c:pt>
                <c:pt idx="1">
                  <c:v>62.855326460481095</c:v>
                </c:pt>
                <c:pt idx="2">
                  <c:v>58.979264214046822</c:v>
                </c:pt>
                <c:pt idx="3">
                  <c:v>58.240435835351079</c:v>
                </c:pt>
                <c:pt idx="4">
                  <c:v>68.429411764705875</c:v>
                </c:pt>
                <c:pt idx="5">
                  <c:v>84.667796610169489</c:v>
                </c:pt>
                <c:pt idx="6">
                  <c:v>91.576744186046511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E-47D2-B857-93C17DE75B2B}"/>
            </c:ext>
          </c:extLst>
        </c:ser>
        <c:ser>
          <c:idx val="2"/>
          <c:order val="2"/>
          <c:tx>
            <c:strRef>
              <c:f>'Frage 1 Altersgruppen'!$A$86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Altersgruppen'!$B$83:$H$83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Altersgruppen'!$B$86:$H$86</c:f>
              <c:numCache>
                <c:formatCode>0.0</c:formatCode>
                <c:ptCount val="7"/>
                <c:pt idx="0">
                  <c:v>74.699999999999989</c:v>
                </c:pt>
                <c:pt idx="1">
                  <c:v>53.2</c:v>
                </c:pt>
                <c:pt idx="2">
                  <c:v>61.7</c:v>
                </c:pt>
                <c:pt idx="3">
                  <c:v>63.7</c:v>
                </c:pt>
                <c:pt idx="4">
                  <c:v>61.2</c:v>
                </c:pt>
                <c:pt idx="5">
                  <c:v>75.599999999999994</c:v>
                </c:pt>
                <c:pt idx="6">
                  <c:v>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E-47D2-B857-93C17DE75B2B}"/>
            </c:ext>
          </c:extLst>
        </c:ser>
        <c:ser>
          <c:idx val="3"/>
          <c:order val="3"/>
          <c:tx>
            <c:strRef>
              <c:f>'Frage 1 Altersgruppen'!$A$87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Altersgruppen'!$B$83:$H$83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Altersgruppen'!$B$87:$H$87</c:f>
              <c:numCache>
                <c:formatCode>0.0</c:formatCode>
                <c:ptCount val="7"/>
                <c:pt idx="0">
                  <c:v>76.7</c:v>
                </c:pt>
                <c:pt idx="1">
                  <c:v>59.8</c:v>
                </c:pt>
                <c:pt idx="2">
                  <c:v>59</c:v>
                </c:pt>
                <c:pt idx="3">
                  <c:v>61.2</c:v>
                </c:pt>
                <c:pt idx="4">
                  <c:v>60</c:v>
                </c:pt>
                <c:pt idx="5">
                  <c:v>74.7</c:v>
                </c:pt>
                <c:pt idx="6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E-47D2-B857-93C17DE75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5428639"/>
        <c:axId val="1"/>
      </c:barChart>
      <c:catAx>
        <c:axId val="57542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1.764757346508157E-2"/>
              <c:y val="0.372274907242434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5428639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767613607122633"/>
          <c:y val="0.39417367537087061"/>
          <c:w val="0.99120786372291692"/>
          <c:h val="0.66912178860854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Anteil der Raucher nach Altersgruppen</a:t>
            </a:r>
          </a:p>
        </c:rich>
      </c:tx>
      <c:layout>
        <c:manualLayout>
          <c:xMode val="edge"/>
          <c:yMode val="edge"/>
          <c:x val="0.27658332816665632"/>
          <c:y val="3.5630700556729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91098632951145E-2"/>
          <c:y val="0.19953170481537558"/>
          <c:w val="0.80514290293493773"/>
          <c:h val="0.53208454617433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Altersgruppen'!$A$121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492-4D1B-9B5F-7A530F49701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2-4D1B-9B5F-7A530F49701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Altersgruppen'!$B$120:$H$120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Altersgruppen'!$B$121:$H$121</c:f>
              <c:numCache>
                <c:formatCode>0.0</c:formatCode>
                <c:ptCount val="7"/>
                <c:pt idx="0">
                  <c:v>43.089430894308947</c:v>
                </c:pt>
                <c:pt idx="1">
                  <c:v>53.877551020408163</c:v>
                </c:pt>
                <c:pt idx="2">
                  <c:v>44.409937888198755</c:v>
                </c:pt>
                <c:pt idx="3">
                  <c:v>43.75</c:v>
                </c:pt>
                <c:pt idx="4">
                  <c:v>35.836177474402731</c:v>
                </c:pt>
                <c:pt idx="5">
                  <c:v>22.699386503067483</c:v>
                </c:pt>
                <c:pt idx="6">
                  <c:v>9.2105263157894726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92-4D1B-9B5F-7A530F497019}"/>
            </c:ext>
          </c:extLst>
        </c:ser>
        <c:ser>
          <c:idx val="1"/>
          <c:order val="1"/>
          <c:tx>
            <c:strRef>
              <c:f>'Frage 1 Altersgruppen'!$A$122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492-4D1B-9B5F-7A530F49701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92-4D1B-9B5F-7A530F49701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Altersgruppen'!$B$120:$H$120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Altersgruppen'!$B$122:$H$122</c:f>
              <c:numCache>
                <c:formatCode>0.0</c:formatCode>
                <c:ptCount val="7"/>
                <c:pt idx="0">
                  <c:v>21.1</c:v>
                </c:pt>
                <c:pt idx="1">
                  <c:v>37.1</c:v>
                </c:pt>
                <c:pt idx="2">
                  <c:v>41.1</c:v>
                </c:pt>
                <c:pt idx="3">
                  <c:v>41.6</c:v>
                </c:pt>
                <c:pt idx="4">
                  <c:v>31.7</c:v>
                </c:pt>
                <c:pt idx="5">
                  <c:v>15.2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92-4D1B-9B5F-7A530F497019}"/>
            </c:ext>
          </c:extLst>
        </c:ser>
        <c:ser>
          <c:idx val="2"/>
          <c:order val="2"/>
          <c:tx>
            <c:strRef>
              <c:f>'Frage 1 Altersgruppen'!$A$123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25" b="1" i="0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492-4D1B-9B5F-7A530F49701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Altersgruppen'!$B$120:$H$120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Altersgruppen'!$B$123:$H$123</c:f>
              <c:numCache>
                <c:formatCode>0.0</c:formatCode>
                <c:ptCount val="7"/>
                <c:pt idx="0">
                  <c:v>21.4</c:v>
                </c:pt>
                <c:pt idx="1">
                  <c:v>45.4</c:v>
                </c:pt>
                <c:pt idx="2">
                  <c:v>37.299999999999997</c:v>
                </c:pt>
                <c:pt idx="3">
                  <c:v>35.6</c:v>
                </c:pt>
                <c:pt idx="4">
                  <c:v>37.299999999999997</c:v>
                </c:pt>
                <c:pt idx="5">
                  <c:v>23.4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92-4D1B-9B5F-7A530F497019}"/>
            </c:ext>
          </c:extLst>
        </c:ser>
        <c:ser>
          <c:idx val="3"/>
          <c:order val="3"/>
          <c:tx>
            <c:strRef>
              <c:f>'Frage 1 Altersgruppen'!$A$124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Altersgruppen'!$B$120:$H$120</c:f>
              <c:strCache>
                <c:ptCount val="7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</c:strCache>
            </c:strRef>
          </c:cat>
          <c:val>
            <c:numRef>
              <c:f>'Frage 1 Altersgruppen'!$B$124:$H$124</c:f>
              <c:numCache>
                <c:formatCode>0.0</c:formatCode>
                <c:ptCount val="7"/>
                <c:pt idx="0">
                  <c:v>23.3</c:v>
                </c:pt>
                <c:pt idx="1">
                  <c:v>40.299999999999997</c:v>
                </c:pt>
                <c:pt idx="2">
                  <c:v>41.1</c:v>
                </c:pt>
                <c:pt idx="3">
                  <c:v>38.799999999999997</c:v>
                </c:pt>
                <c:pt idx="4">
                  <c:v>40</c:v>
                </c:pt>
                <c:pt idx="5">
                  <c:v>25.3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92-4D1B-9B5F-7A530F49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3347887"/>
        <c:axId val="1"/>
      </c:barChart>
      <c:catAx>
        <c:axId val="57334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3622822245644489E-2"/>
              <c:y val="0.382435895038060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3347887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735112220224424"/>
          <c:y val="0.39193739440527176"/>
          <c:w val="0.99117234484468952"/>
          <c:h val="0.6603549853180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Veränderungen beim Rauchverhalten
zwischen 2007 und 2015 nach Altersgruppen</a:t>
            </a:r>
          </a:p>
        </c:rich>
      </c:tx>
      <c:layout>
        <c:manualLayout>
          <c:xMode val="edge"/>
          <c:yMode val="edge"/>
          <c:x val="0.18484490451154667"/>
          <c:y val="3.5399316770547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92234134435501"/>
          <c:y val="0.28098275978791476"/>
          <c:w val="0.71861039421856532"/>
          <c:h val="0.42258037101961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'Frage 1 Altersgruppen'!$A$179</c:f>
              <c:strCache>
                <c:ptCount val="1"/>
                <c:pt idx="0">
                  <c:v>Nie-Raucher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0799924999816589"/>
                  <c:y val="0.2632830583839516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50-4470-BE79-C956E516003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834477643893927"/>
                  <c:y val="0.316382162595841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50-4470-BE79-C956E516003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5868842787512729"/>
                  <c:y val="0.568602907602315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50-4470-BE79-C956E516003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450-4470-BE79-C956E51600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Altersgruppen'!$B$178:$I$178</c:f>
              <c:strCache>
                <c:ptCount val="8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  <c:pt idx="7">
                  <c:v>Alter
16-70+</c:v>
                </c:pt>
              </c:strCache>
            </c:strRef>
          </c:cat>
          <c:val>
            <c:numRef>
              <c:f>'Frage 1 Altersgruppen'!$B$179:$I$179</c:f>
              <c:numCache>
                <c:formatCode>0.0</c:formatCode>
                <c:ptCount val="8"/>
                <c:pt idx="0">
                  <c:v>25.306504065040656</c:v>
                </c:pt>
                <c:pt idx="1">
                  <c:v>18.463265306122448</c:v>
                </c:pt>
                <c:pt idx="2">
                  <c:v>-1.6093167701863393</c:v>
                </c:pt>
                <c:pt idx="3">
                  <c:v>4.2195652173913061</c:v>
                </c:pt>
                <c:pt idx="4">
                  <c:v>3.5116040955631362</c:v>
                </c:pt>
                <c:pt idx="5">
                  <c:v>-2.1503067484662566</c:v>
                </c:pt>
                <c:pt idx="6">
                  <c:v>-1.2736842105263122</c:v>
                </c:pt>
                <c:pt idx="7">
                  <c:v>4.5999999999999943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50-4470-BE79-C956E516003B}"/>
            </c:ext>
          </c:extLst>
        </c:ser>
        <c:ser>
          <c:idx val="1"/>
          <c:order val="1"/>
          <c:tx>
            <c:strRef>
              <c:f>'Frage 1 Altersgruppen'!$A$180</c:f>
              <c:strCache>
                <c:ptCount val="1"/>
                <c:pt idx="0">
                  <c:v>Ex-Raucher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53761057484208"/>
                  <c:y val="0.584090146330783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50-4470-BE79-C956E516003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1288313701561543"/>
                  <c:y val="0.5774527583042972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50-4470-BE79-C956E516003B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0915100480074384"/>
                  <c:y val="0.4601922365030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50-4470-BE79-C956E516003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361133172085788"/>
                  <c:y val="0.462404699178536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50-4470-BE79-C956E516003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5080247835263403"/>
                  <c:y val="0.54647828084736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50-4470-BE79-C956E51600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Altersgruppen'!$B$178:$I$178</c:f>
              <c:strCache>
                <c:ptCount val="8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  <c:pt idx="7">
                  <c:v>Alter
16-70+</c:v>
                </c:pt>
              </c:strCache>
            </c:strRef>
          </c:cat>
          <c:val>
            <c:numRef>
              <c:f>'Frage 1 Altersgruppen'!$B$180:$I$180</c:f>
              <c:numCache>
                <c:formatCode>0.0</c:formatCode>
                <c:ptCount val="8"/>
                <c:pt idx="0">
                  <c:v>-5.5170731707317069</c:v>
                </c:pt>
                <c:pt idx="1">
                  <c:v>-4.7857142857142847</c:v>
                </c:pt>
                <c:pt idx="2">
                  <c:v>5.0192546583850941</c:v>
                </c:pt>
                <c:pt idx="3">
                  <c:v>0.45869565217391539</c:v>
                </c:pt>
                <c:pt idx="4">
                  <c:v>-8.0167235494880558</c:v>
                </c:pt>
                <c:pt idx="5">
                  <c:v>-0.14355828220858768</c:v>
                </c:pt>
                <c:pt idx="6">
                  <c:v>2.3131578947368396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0-4470-BE79-C956E516003B}"/>
            </c:ext>
          </c:extLst>
        </c:ser>
        <c:ser>
          <c:idx val="2"/>
          <c:order val="2"/>
          <c:tx>
            <c:strRef>
              <c:f>'Frage 1 Altersgruppen'!$A$181</c:f>
              <c:strCache>
                <c:ptCount val="1"/>
                <c:pt idx="0">
                  <c:v>Raucher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4330669711295088"/>
                  <c:y val="0.692500817430057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50-4470-BE79-C956E516003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3780604086134605"/>
                  <c:y val="0.641614175893663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50-4470-BE79-C956E516003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450-4470-BE79-C956E51600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'Frage 1 Altersgruppen'!$B$178:$I$178</c:f>
              <c:strCache>
                <c:ptCount val="8"/>
                <c:pt idx="0">
                  <c:v>Alter
16-19</c:v>
                </c:pt>
                <c:pt idx="1">
                  <c:v>Alter
20-29</c:v>
                </c:pt>
                <c:pt idx="2">
                  <c:v>Alter
30-39</c:v>
                </c:pt>
                <c:pt idx="3">
                  <c:v>Alter
40-49</c:v>
                </c:pt>
                <c:pt idx="4">
                  <c:v>Alter
50-59</c:v>
                </c:pt>
                <c:pt idx="5">
                  <c:v>Alter
60-69</c:v>
                </c:pt>
                <c:pt idx="6">
                  <c:v>Alter
70 + </c:v>
                </c:pt>
                <c:pt idx="7">
                  <c:v>Alter
16-70+</c:v>
                </c:pt>
              </c:strCache>
            </c:strRef>
          </c:cat>
          <c:val>
            <c:numRef>
              <c:f>'Frage 1 Altersgruppen'!$B$181:$I$181</c:f>
              <c:numCache>
                <c:formatCode>0.0</c:formatCode>
                <c:ptCount val="8"/>
                <c:pt idx="0">
                  <c:v>-19.789430894308946</c:v>
                </c:pt>
                <c:pt idx="1">
                  <c:v>-13.577551020408166</c:v>
                </c:pt>
                <c:pt idx="2">
                  <c:v>-3.3099378881987533</c:v>
                </c:pt>
                <c:pt idx="3">
                  <c:v>-4.95</c:v>
                </c:pt>
                <c:pt idx="4">
                  <c:v>4.1638225255972685</c:v>
                </c:pt>
                <c:pt idx="5">
                  <c:v>2.6006134969325174</c:v>
                </c:pt>
                <c:pt idx="6">
                  <c:v>-0.71052631578947256</c:v>
                </c:pt>
                <c:pt idx="7">
                  <c:v>-3.5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50-4470-BE79-C956E5160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83510799"/>
        <c:axId val="1"/>
      </c:barChart>
      <c:catAx>
        <c:axId val="58351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2.803820083237259E-2"/>
              <c:y val="0.411518003154262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10799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464795872478572"/>
          <c:y val="0.39824333211120228"/>
          <c:w val="0.99380081383908025"/>
          <c:h val="0.579665194289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693420</xdr:colOff>
      <xdr:row>18</xdr:row>
      <xdr:rowOff>0</xdr:rowOff>
    </xdr:from>
    <xdr:to>
      <xdr:col>9</xdr:col>
      <xdr:colOff>381000</xdr:colOff>
      <xdr:row>33</xdr:row>
      <xdr:rowOff>68580</xdr:rowOff>
    </xdr:to>
    <xdr:graphicFrame macro="">
      <xdr:nvGraphicFramePr>
        <xdr:cNvPr id="19465" name="Diagramm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1181100</xdr:colOff>
      <xdr:row>44</xdr:row>
      <xdr:rowOff>91440</xdr:rowOff>
    </xdr:from>
    <xdr:to>
      <xdr:col>8</xdr:col>
      <xdr:colOff>487680</xdr:colOff>
      <xdr:row>62</xdr:row>
      <xdr:rowOff>45720</xdr:rowOff>
    </xdr:to>
    <xdr:graphicFrame macro="">
      <xdr:nvGraphicFramePr>
        <xdr:cNvPr id="19466" name="Diagramm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81</xdr:row>
      <xdr:rowOff>160020</xdr:rowOff>
    </xdr:from>
    <xdr:to>
      <xdr:col>8</xdr:col>
      <xdr:colOff>403860</xdr:colOff>
      <xdr:row>99</xdr:row>
      <xdr:rowOff>129540</xdr:rowOff>
    </xdr:to>
    <xdr:graphicFrame macro="">
      <xdr:nvGraphicFramePr>
        <xdr:cNvPr id="19467" name="Diagramm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365760</xdr:colOff>
      <xdr:row>153</xdr:row>
      <xdr:rowOff>121920</xdr:rowOff>
    </xdr:from>
    <xdr:to>
      <xdr:col>5</xdr:col>
      <xdr:colOff>701040</xdr:colOff>
      <xdr:row>169</xdr:row>
      <xdr:rowOff>121920</xdr:rowOff>
    </xdr:to>
    <xdr:graphicFrame macro="">
      <xdr:nvGraphicFramePr>
        <xdr:cNvPr id="19468" name="Diagramm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0.00688</cdr:x>
      <cdr:y>0.90607</cdr:y>
    </cdr:from>
    <cdr:to>
      <cdr:x>0.69281</cdr:x>
      <cdr:y>0.98027</cdr:y>
    </cdr:to>
    <cdr:sp macro="" textlink="">
      <cdr:nvSpPr>
        <cdr:cNvPr id="921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11043"/>
          <a:ext cx="5315609" cy="238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 2007,  2011,  2013, 2015; Auswertung: NID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0.00726</cdr:x>
      <cdr:y>0.9075</cdr:y>
    </cdr:from>
    <cdr:to>
      <cdr:x>0.97278</cdr:x>
      <cdr:y>0.96347</cdr:y>
    </cdr:to>
    <cdr:sp macro="" textlink="">
      <cdr:nvSpPr>
        <cdr:cNvPr id="205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30038"/>
          <a:ext cx="7092410" cy="193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Januar 2007 und August 2015; Auswertung: NID</a:t>
          </a:r>
        </a:p>
      </cdr:txBody>
    </cdr:sp>
  </cdr:relSizeAnchor>
  <cdr:relSizeAnchor xmlns:cdr="http://schemas.openxmlformats.org/drawingml/2006/chartDrawing">
    <cdr:from>
      <cdr:x>0.73479</cdr:x>
      <cdr:y>0.2914</cdr:y>
    </cdr:from>
    <cdr:to>
      <cdr:x>0.73479</cdr:x>
      <cdr:y>0.82247</cdr:y>
    </cdr:to>
    <cdr:sp macro="" textlink="">
      <cdr:nvSpPr>
        <cdr:cNvPr id="2058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94992" y="1003340"/>
          <a:ext cx="0" cy="1833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0.0099</cdr:x>
      <cdr:y>0.89662</cdr:y>
    </cdr:from>
    <cdr:to>
      <cdr:x>0.9901</cdr:x>
      <cdr:y>0.97657</cdr:y>
    </cdr:to>
    <cdr:sp macro="" textlink="">
      <cdr:nvSpPr>
        <cdr:cNvPr id="234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09243"/>
          <a:ext cx="5280660" cy="215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 2007,  2011,  2013, 2015; Auswertung: NID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27</xdr:row>
      <xdr:rowOff>129540</xdr:rowOff>
    </xdr:from>
    <xdr:to>
      <xdr:col>5</xdr:col>
      <xdr:colOff>769620</xdr:colOff>
      <xdr:row>50</xdr:row>
      <xdr:rowOff>45720</xdr:rowOff>
    </xdr:to>
    <xdr:graphicFrame macro="">
      <xdr:nvGraphicFramePr>
        <xdr:cNvPr id="224264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693420</xdr:colOff>
      <xdr:row>59</xdr:row>
      <xdr:rowOff>68580</xdr:rowOff>
    </xdr:from>
    <xdr:to>
      <xdr:col>5</xdr:col>
      <xdr:colOff>784860</xdr:colOff>
      <xdr:row>75</xdr:row>
      <xdr:rowOff>68580</xdr:rowOff>
    </xdr:to>
    <xdr:graphicFrame macro="">
      <xdr:nvGraphicFramePr>
        <xdr:cNvPr id="224265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0.01521</cdr:x>
      <cdr:y>0.93681</cdr:y>
    </cdr:from>
    <cdr:to>
      <cdr:x>0.59134</cdr:x>
      <cdr:y>0.98589</cdr:y>
    </cdr:to>
    <cdr:sp macro="" textlink="">
      <cdr:nvSpPr>
        <cdr:cNvPr id="228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40" y="3538162"/>
          <a:ext cx="4056507" cy="185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August 2015; Auswertung: NID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0.09095</cdr:x>
      <cdr:y>0.32426</cdr:y>
    </cdr:from>
    <cdr:to>
      <cdr:x>0.36258</cdr:x>
      <cdr:y>0.41549</cdr:y>
    </cdr:to>
    <cdr:sp macro="" textlink="">
      <cdr:nvSpPr>
        <cdr:cNvPr id="231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515" y="869668"/>
          <a:ext cx="1941522" cy="245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Ein starker Wille</a:t>
          </a:r>
        </a:p>
      </cdr:txBody>
    </cdr:sp>
  </cdr:relSizeAnchor>
  <cdr:relSizeAnchor xmlns:cdr="http://schemas.openxmlformats.org/drawingml/2006/chartDrawing">
    <cdr:from>
      <cdr:x>0.02101</cdr:x>
      <cdr:y>0.5557</cdr:y>
    </cdr:from>
    <cdr:to>
      <cdr:x>0.36332</cdr:x>
      <cdr:y>0.73144</cdr:y>
    </cdr:to>
    <cdr:sp macro="" textlink="">
      <cdr:nvSpPr>
        <cdr:cNvPr id="231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612" y="1492214"/>
          <a:ext cx="2446706" cy="472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Eine eigene schwere Erkrankung,</a:t>
          </a:r>
        </a:p>
        <a:p xmlns:a="http://schemas.openxmlformats.org/drawingml/2006/main">
          <a:pPr algn="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sehr motiviert</a:t>
          </a:r>
        </a:p>
      </cdr:txBody>
    </cdr:sp>
  </cdr:relSizeAnchor>
  <cdr:relSizeAnchor xmlns:cdr="http://schemas.openxmlformats.org/drawingml/2006/chartDrawing">
    <cdr:from>
      <cdr:x>0.00746</cdr:x>
      <cdr:y>0.90142</cdr:y>
    </cdr:from>
    <cdr:to>
      <cdr:x>0.63742</cdr:x>
      <cdr:y>0.98017</cdr:y>
    </cdr:to>
    <cdr:sp macro="" textlink="">
      <cdr:nvSpPr>
        <cdr:cNvPr id="231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22159"/>
          <a:ext cx="4502643" cy="211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August 2015; Auswertung: NID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0.01017</cdr:x>
      <cdr:y>0.89398</cdr:y>
    </cdr:from>
    <cdr:to>
      <cdr:x>0.74124</cdr:x>
      <cdr:y>0.96137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34032"/>
          <a:ext cx="3832650" cy="176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August 2015; Auswertung: NID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0.0086</cdr:x>
      <cdr:y>0.88275</cdr:y>
    </cdr:from>
    <cdr:to>
      <cdr:x>0.80737</cdr:x>
      <cdr:y>0.98205</cdr:y>
    </cdr:to>
    <cdr:sp macro="" textlink="">
      <cdr:nvSpPr>
        <cdr:cNvPr id="6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620813"/>
          <a:ext cx="4954524" cy="29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2007, 2011, 2013, 2015; Auswertung: NID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0.00895</cdr:x>
      <cdr:y>0.90504</cdr:y>
    </cdr:from>
    <cdr:to>
      <cdr:x>0.76934</cdr:x>
      <cdr:y>0.97592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7742"/>
          <a:ext cx="4531035" cy="212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August 2015; Auswertung: NID</a:t>
          </a:r>
        </a:p>
      </cdr:txBody>
    </cdr:sp>
  </cdr:relSizeAnchor>
  <cdr:relSizeAnchor xmlns:cdr="http://schemas.openxmlformats.org/drawingml/2006/chartDrawing">
    <cdr:from>
      <cdr:x>0.53094</cdr:x>
      <cdr:y>0.30954</cdr:y>
    </cdr:from>
    <cdr:to>
      <cdr:x>0.53094</cdr:x>
      <cdr:y>0.86936</cdr:y>
    </cdr:to>
    <cdr:sp macro="" textlink="">
      <cdr:nvSpPr>
        <cdr:cNvPr id="9318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1223" y="924414"/>
          <a:ext cx="0" cy="16764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0.01099</cdr:x>
      <cdr:y>0.90118</cdr:y>
    </cdr:from>
    <cdr:to>
      <cdr:x>0.94011</cdr:x>
      <cdr:y>0.98017</cdr:y>
    </cdr:to>
    <cdr:sp macro="" textlink="">
      <cdr:nvSpPr>
        <cdr:cNvPr id="2437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21513"/>
          <a:ext cx="4509897" cy="21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2007 und 2015; Auswertung: NID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17</xdr:row>
      <xdr:rowOff>0</xdr:rowOff>
    </xdr:from>
    <xdr:to>
      <xdr:col>13</xdr:col>
      <xdr:colOff>693420</xdr:colOff>
      <xdr:row>37</xdr:row>
      <xdr:rowOff>121920</xdr:rowOff>
    </xdr:to>
    <xdr:graphicFrame macro="">
      <xdr:nvGraphicFramePr>
        <xdr:cNvPr id="104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56</xdr:row>
      <xdr:rowOff>22860</xdr:rowOff>
    </xdr:from>
    <xdr:to>
      <xdr:col>13</xdr:col>
      <xdr:colOff>723900</xdr:colOff>
      <xdr:row>75</xdr:row>
      <xdr:rowOff>22860</xdr:rowOff>
    </xdr:to>
    <xdr:graphicFrame macro="">
      <xdr:nvGraphicFramePr>
        <xdr:cNvPr id="104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</xdr:colOff>
      <xdr:row>92</xdr:row>
      <xdr:rowOff>137160</xdr:rowOff>
    </xdr:from>
    <xdr:to>
      <xdr:col>13</xdr:col>
      <xdr:colOff>762000</xdr:colOff>
      <xdr:row>111</xdr:row>
      <xdr:rowOff>91440</xdr:rowOff>
    </xdr:to>
    <xdr:graphicFrame macro="">
      <xdr:nvGraphicFramePr>
        <xdr:cNvPr id="1047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60960</xdr:colOff>
      <xdr:row>130</xdr:row>
      <xdr:rowOff>7620</xdr:rowOff>
    </xdr:from>
    <xdr:to>
      <xdr:col>13</xdr:col>
      <xdr:colOff>701040</xdr:colOff>
      <xdr:row>149</xdr:row>
      <xdr:rowOff>30480</xdr:rowOff>
    </xdr:to>
    <xdr:graphicFrame macro="">
      <xdr:nvGraphicFramePr>
        <xdr:cNvPr id="1048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312420</xdr:colOff>
      <xdr:row>182</xdr:row>
      <xdr:rowOff>99060</xdr:rowOff>
    </xdr:from>
    <xdr:to>
      <xdr:col>13</xdr:col>
      <xdr:colOff>548640</xdr:colOff>
      <xdr:row>208</xdr:row>
      <xdr:rowOff>68580</xdr:rowOff>
    </xdr:to>
    <xdr:grpSp>
      <xdr:nvGrpSpPr>
        <xdr:cNvPr id="1049" name="Group 14"/>
        <xdr:cNvGrpSpPr>
          <a:grpSpLocks/>
        </xdr:cNvGrpSpPr>
      </xdr:nvGrpSpPr>
      <xdr:grpSpPr bwMode="auto">
        <a:xfrm>
          <a:off x="312420" y="32583120"/>
          <a:ext cx="7338060" cy="4328160"/>
          <a:chOff x="32" y="3320"/>
          <a:chExt cx="741" cy="439"/>
        </a:xfrm>
      </xdr:grpSpPr>
      <xdr:graphicFrame macro="">
        <xdr:nvGraphicFramePr>
          <xdr:cNvPr id="1051" name="Diagramm 10"/>
          <xdr:cNvGraphicFramePr>
            <a:graphicFrameLocks/>
          </xdr:cNvGraphicFramePr>
        </xdr:nvGraphicFramePr>
        <xdr:xfrm>
          <a:off x="32" y="3320"/>
          <a:ext cx="741" cy="3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33" y="3690"/>
            <a:ext cx="737" cy="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72000" tIns="72000" rIns="72000" bIns="72000" anchor="ctr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Bei der Auswertung nach Altersgruppen ist zu beachten, dass sich besondere geschichtliche Ereignisse in früheren Jahrzehnten (z.B. Freizügigkeit der 1968er-Generation, Wiedervereinigung, Finanz- und Wirtschaftskrisen, Gesetzesänderungen etc.) oft zeitlich verschoben in den folgenden Jahrzehnten niederschlagen.</a:t>
            </a:r>
          </a:p>
        </xdr:txBody>
      </xdr:sp>
    </xdr:grpSp>
    <xdr:clientData/>
  </xdr:twoCellAnchor>
  <xdr:twoCellAnchor>
    <xdr:from>
      <xdr:col>0</xdr:col>
      <xdr:colOff>861060</xdr:colOff>
      <xdr:row>217</xdr:row>
      <xdr:rowOff>22860</xdr:rowOff>
    </xdr:from>
    <xdr:to>
      <xdr:col>11</xdr:col>
      <xdr:colOff>723900</xdr:colOff>
      <xdr:row>233</xdr:row>
      <xdr:rowOff>22860</xdr:rowOff>
    </xdr:to>
    <xdr:graphicFrame macro="">
      <xdr:nvGraphicFramePr>
        <xdr:cNvPr id="1050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0.01335</cdr:x>
      <cdr:y>0.92822</cdr:y>
    </cdr:from>
    <cdr:to>
      <cdr:x>0.81679</cdr:x>
      <cdr:y>0.9842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82" y="3229828"/>
          <a:ext cx="6177353" cy="194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 2007,  2011,  2013, 2015; Auswertung: NID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0.0069</cdr:x>
      <cdr:y>0.90645</cdr:y>
    </cdr:from>
    <cdr:to>
      <cdr:x>0.69354</cdr:x>
      <cdr:y>0.98329</cdr:y>
    </cdr:to>
    <cdr:sp macro="" textlink="">
      <cdr:nvSpPr>
        <cdr:cNvPr id="717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91555"/>
          <a:ext cx="5310730" cy="2453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 2007,  2011,  2013, 2015; Auswertung: NID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0.00686</cdr:x>
      <cdr:y>0.90766</cdr:y>
    </cdr:from>
    <cdr:to>
      <cdr:x>0.68887</cdr:x>
      <cdr:y>0.98301</cdr:y>
    </cdr:to>
    <cdr:sp macro="" textlink="">
      <cdr:nvSpPr>
        <cdr:cNvPr id="819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47005"/>
          <a:ext cx="5306115" cy="236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25" b="0" i="0" u="none" strike="noStrike" baseline="0">
              <a:solidFill>
                <a:srgbClr val="000000"/>
              </a:solidFill>
              <a:latin typeface="Arial"/>
              <a:cs typeface="Arial"/>
            </a:rPr>
            <a:t>GfK Marktforschung Classic Bus  2007,  2011,  2013, 2015; Auswertung: NID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opLeftCell="A133" workbookViewId="0">
      <selection activeCell="J90" sqref="J90"/>
    </sheetView>
  </sheetViews>
  <sheetFormatPr baseColWidth="10" defaultRowHeight="13.2" x14ac:dyDescent="0.25"/>
  <cols>
    <col min="1" max="1" width="19.5546875" customWidth="1"/>
    <col min="10" max="10" width="8.6640625" customWidth="1"/>
    <col min="11" max="11" width="11.5546875" customWidth="1"/>
  </cols>
  <sheetData>
    <row r="1" spans="1:11" s="20" customFormat="1" ht="17.399999999999999" x14ac:dyDescent="0.25">
      <c r="A1" s="209" t="s">
        <v>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s="20" customFormat="1" ht="15.6" x14ac:dyDescent="0.25">
      <c r="A2" s="210" t="s">
        <v>33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s="20" customFormat="1" ht="15.6" x14ac:dyDescent="0.25">
      <c r="A3" s="210" t="s">
        <v>133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s="20" customFormat="1" ht="9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1" s="20" customFormat="1" ht="13.8" x14ac:dyDescent="0.25">
      <c r="A5" s="212" t="s">
        <v>14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11" s="20" customFormat="1" ht="34.5" customHeight="1" x14ac:dyDescent="0.25">
      <c r="A6" s="211" t="s">
        <v>34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1" s="20" customFormat="1" ht="13.8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20" customFormat="1" ht="13.8" x14ac:dyDescent="0.25">
      <c r="A8" s="178" t="s">
        <v>15</v>
      </c>
      <c r="B8" s="206" t="s">
        <v>16</v>
      </c>
      <c r="C8" s="207"/>
      <c r="D8" s="207"/>
      <c r="E8" s="207"/>
      <c r="F8" s="207"/>
      <c r="G8" s="207"/>
      <c r="H8" s="207"/>
      <c r="I8" s="207"/>
      <c r="J8" s="207"/>
      <c r="K8" s="208"/>
    </row>
    <row r="9" spans="1:11" s="20" customFormat="1" ht="15.75" customHeight="1" x14ac:dyDescent="0.25">
      <c r="A9" s="32"/>
      <c r="B9" s="200" t="s">
        <v>17</v>
      </c>
      <c r="C9" s="201"/>
      <c r="D9" s="201"/>
      <c r="E9" s="201"/>
      <c r="F9" s="201"/>
      <c r="G9" s="201"/>
      <c r="H9" s="201"/>
      <c r="I9" s="201"/>
      <c r="J9" s="201"/>
      <c r="K9" s="202"/>
    </row>
    <row r="10" spans="1:11" s="20" customFormat="1" ht="15.75" customHeight="1" x14ac:dyDescent="0.25">
      <c r="A10" s="32"/>
      <c r="B10" s="203" t="s">
        <v>18</v>
      </c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s="20" customFormat="1" ht="15.75" customHeight="1" x14ac:dyDescent="0.25">
      <c r="A11" s="32"/>
      <c r="B11" s="203" t="s">
        <v>19</v>
      </c>
      <c r="C11" s="204"/>
      <c r="D11" s="204"/>
      <c r="E11" s="204"/>
      <c r="F11" s="204"/>
      <c r="G11" s="204"/>
      <c r="H11" s="204"/>
      <c r="I11" s="204"/>
      <c r="J11" s="204"/>
      <c r="K11" s="205"/>
    </row>
    <row r="12" spans="1:11" s="20" customFormat="1" ht="15.75" customHeight="1" x14ac:dyDescent="0.25">
      <c r="A12" s="32"/>
      <c r="B12" s="203" t="s">
        <v>20</v>
      </c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s="20" customFormat="1" ht="15.75" customHeight="1" x14ac:dyDescent="0.25">
      <c r="A13" s="32"/>
      <c r="B13" s="200" t="s">
        <v>21</v>
      </c>
      <c r="C13" s="201"/>
      <c r="D13" s="201"/>
      <c r="E13" s="201"/>
      <c r="F13" s="201"/>
      <c r="G13" s="201"/>
      <c r="H13" s="201"/>
      <c r="I13" s="201"/>
      <c r="J13" s="201"/>
      <c r="K13" s="202"/>
    </row>
    <row r="14" spans="1:11" s="20" customFormat="1" ht="15.75" customHeight="1" x14ac:dyDescent="0.25">
      <c r="A14" s="32"/>
      <c r="B14" s="206" t="s">
        <v>22</v>
      </c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s="20" customFormat="1" ht="15.75" customHeight="1" x14ac:dyDescent="0.25">
      <c r="A15" s="32"/>
      <c r="B15" s="203" t="s">
        <v>23</v>
      </c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s="20" customFormat="1" ht="15.75" customHeight="1" x14ac:dyDescent="0.25">
      <c r="A16" s="32"/>
      <c r="B16" s="203" t="s">
        <v>24</v>
      </c>
      <c r="C16" s="204"/>
      <c r="D16" s="204"/>
      <c r="E16" s="204"/>
      <c r="F16" s="204"/>
      <c r="G16" s="204"/>
      <c r="H16" s="204"/>
      <c r="I16" s="204"/>
      <c r="J16" s="204"/>
      <c r="K16" s="205"/>
    </row>
    <row r="17" spans="1:11" s="20" customFormat="1" ht="15.75" customHeight="1" x14ac:dyDescent="0.25">
      <c r="A17" s="32"/>
      <c r="B17" s="200" t="s">
        <v>25</v>
      </c>
      <c r="C17" s="201"/>
      <c r="D17" s="201"/>
      <c r="E17" s="201"/>
      <c r="F17" s="201"/>
      <c r="G17" s="201"/>
      <c r="H17" s="201"/>
      <c r="I17" s="201"/>
      <c r="J17" s="201"/>
      <c r="K17" s="202"/>
    </row>
    <row r="18" spans="1:11" ht="15.6" x14ac:dyDescent="0.3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5.6" x14ac:dyDescent="0.3">
      <c r="A19" s="23" t="s">
        <v>98</v>
      </c>
      <c r="B19" s="75" t="s">
        <v>26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157" t="s">
        <v>0</v>
      </c>
      <c r="B20" s="157">
        <v>43.3</v>
      </c>
    </row>
    <row r="21" spans="1:11" x14ac:dyDescent="0.25">
      <c r="A21" s="157" t="s">
        <v>3</v>
      </c>
      <c r="B21" s="157">
        <v>25.1</v>
      </c>
    </row>
    <row r="22" spans="1:11" x14ac:dyDescent="0.25">
      <c r="A22" s="158" t="s">
        <v>126</v>
      </c>
      <c r="B22" s="159">
        <v>68.400000000000006</v>
      </c>
    </row>
    <row r="23" spans="1:11" x14ac:dyDescent="0.25">
      <c r="A23" s="20" t="s">
        <v>4</v>
      </c>
      <c r="B23" s="20">
        <v>31.6</v>
      </c>
    </row>
    <row r="24" spans="1:11" ht="12.75" customHeight="1" x14ac:dyDescent="0.25">
      <c r="A24" s="26"/>
      <c r="B24" s="26"/>
      <c r="C24" s="2"/>
    </row>
    <row r="25" spans="1:11" x14ac:dyDescent="0.25">
      <c r="A25" s="26"/>
      <c r="B25" s="26"/>
      <c r="C25" s="2"/>
    </row>
    <row r="26" spans="1:11" x14ac:dyDescent="0.25">
      <c r="A26" s="20"/>
      <c r="B26" s="26"/>
      <c r="C26" s="2"/>
    </row>
    <row r="33" spans="1:5" x14ac:dyDescent="0.25">
      <c r="B33" s="156"/>
    </row>
    <row r="35" spans="1:5" x14ac:dyDescent="0.25">
      <c r="A35" s="20"/>
      <c r="B35" s="20"/>
      <c r="C35" s="20"/>
      <c r="D35" s="20" t="s">
        <v>125</v>
      </c>
      <c r="E35" s="20"/>
    </row>
    <row r="36" spans="1:5" x14ac:dyDescent="0.25">
      <c r="A36" s="20"/>
      <c r="B36" s="20"/>
      <c r="C36" s="20"/>
      <c r="D36" s="20"/>
      <c r="E36" s="20"/>
    </row>
    <row r="37" spans="1:5" x14ac:dyDescent="0.25">
      <c r="A37" s="20"/>
      <c r="B37" s="20"/>
      <c r="C37" s="20"/>
      <c r="D37" s="20"/>
      <c r="E37" s="20"/>
    </row>
    <row r="38" spans="1:5" x14ac:dyDescent="0.25">
      <c r="A38" s="20"/>
      <c r="B38" s="20"/>
      <c r="C38" s="20"/>
      <c r="D38" s="20"/>
      <c r="E38" s="20"/>
    </row>
    <row r="39" spans="1:5" x14ac:dyDescent="0.25">
      <c r="A39" s="20"/>
      <c r="B39" s="197" t="s">
        <v>99</v>
      </c>
      <c r="C39" s="197"/>
      <c r="D39" s="197"/>
      <c r="E39" s="197"/>
    </row>
    <row r="40" spans="1:5" x14ac:dyDescent="0.25">
      <c r="A40" s="23" t="s">
        <v>98</v>
      </c>
      <c r="B40" s="31">
        <v>2007</v>
      </c>
      <c r="C40" s="31">
        <v>2011</v>
      </c>
      <c r="D40" s="17">
        <v>2013</v>
      </c>
      <c r="E40" s="31">
        <v>2015</v>
      </c>
    </row>
    <row r="41" spans="1:5" x14ac:dyDescent="0.25">
      <c r="A41" s="20" t="s">
        <v>0</v>
      </c>
      <c r="B41" s="22">
        <v>38.700000000000003</v>
      </c>
      <c r="C41" s="22">
        <v>42.5</v>
      </c>
      <c r="D41" s="22">
        <v>45.1</v>
      </c>
      <c r="E41" s="20">
        <v>43.3</v>
      </c>
    </row>
    <row r="42" spans="1:5" x14ac:dyDescent="0.25">
      <c r="A42" s="20" t="s">
        <v>3</v>
      </c>
      <c r="B42" s="22">
        <v>26.1</v>
      </c>
      <c r="C42" s="22">
        <v>28.5</v>
      </c>
      <c r="D42" s="22">
        <v>23.2</v>
      </c>
      <c r="E42" s="20">
        <v>25.1</v>
      </c>
    </row>
    <row r="43" spans="1:5" x14ac:dyDescent="0.25">
      <c r="A43" s="76" t="s">
        <v>126</v>
      </c>
      <c r="B43" s="22">
        <v>64.8</v>
      </c>
      <c r="C43" s="22">
        <v>71</v>
      </c>
      <c r="D43" s="78">
        <v>68.3</v>
      </c>
      <c r="E43" s="77">
        <v>68.400000000000006</v>
      </c>
    </row>
    <row r="44" spans="1:5" x14ac:dyDescent="0.25">
      <c r="A44" s="20" t="s">
        <v>4</v>
      </c>
      <c r="B44" s="22">
        <v>35.1</v>
      </c>
      <c r="C44" s="22">
        <v>29</v>
      </c>
      <c r="D44" s="22">
        <v>31.7</v>
      </c>
      <c r="E44" s="20">
        <v>31.6</v>
      </c>
    </row>
    <row r="46" spans="1:5" ht="12.75" customHeight="1" x14ac:dyDescent="0.25">
      <c r="A46" s="2"/>
      <c r="B46" s="2"/>
      <c r="C46" s="2"/>
    </row>
    <row r="47" spans="1:5" x14ac:dyDescent="0.25">
      <c r="A47" s="2"/>
      <c r="B47" s="2"/>
      <c r="C47" s="2"/>
    </row>
    <row r="48" spans="1:5" x14ac:dyDescent="0.25">
      <c r="A48" s="2"/>
      <c r="B48" s="2"/>
      <c r="C48" s="2"/>
    </row>
    <row r="49" spans="1:6" x14ac:dyDescent="0.25">
      <c r="A49" s="2"/>
      <c r="B49" s="2"/>
      <c r="C49" s="2"/>
    </row>
    <row r="64" spans="1:6" x14ac:dyDescent="0.25">
      <c r="A64" s="20"/>
      <c r="B64" s="20" t="s">
        <v>125</v>
      </c>
      <c r="C64" s="20"/>
      <c r="D64" s="20"/>
      <c r="E64" s="20"/>
      <c r="F64" s="20"/>
    </row>
    <row r="65" spans="1:10" x14ac:dyDescent="0.25">
      <c r="A65" s="20"/>
      <c r="B65" s="20"/>
      <c r="C65" s="20"/>
      <c r="D65" s="20"/>
      <c r="E65" s="20"/>
      <c r="F65" s="20"/>
    </row>
    <row r="66" spans="1:10" x14ac:dyDescent="0.25">
      <c r="A66" s="20"/>
      <c r="B66" s="20"/>
      <c r="C66" s="20"/>
      <c r="D66" s="20"/>
      <c r="E66" s="20"/>
      <c r="F66" s="20"/>
    </row>
    <row r="67" spans="1:10" x14ac:dyDescent="0.25">
      <c r="A67" s="20"/>
      <c r="B67" s="20"/>
      <c r="C67" s="79" t="s">
        <v>84</v>
      </c>
      <c r="D67" s="80">
        <v>510</v>
      </c>
      <c r="E67" s="79" t="s">
        <v>84</v>
      </c>
      <c r="F67" s="80">
        <v>640</v>
      </c>
    </row>
    <row r="68" spans="1:10" x14ac:dyDescent="0.25">
      <c r="A68" s="20"/>
      <c r="B68" s="20"/>
      <c r="C68" s="197" t="s">
        <v>3</v>
      </c>
      <c r="D68" s="197"/>
      <c r="E68" s="197" t="s">
        <v>4</v>
      </c>
      <c r="F68" s="197"/>
    </row>
    <row r="69" spans="1:10" x14ac:dyDescent="0.25">
      <c r="A69" s="199" t="s">
        <v>28</v>
      </c>
      <c r="B69" s="199"/>
      <c r="C69" s="81">
        <v>132</v>
      </c>
      <c r="D69" s="82">
        <f>C69/$D$67</f>
        <v>0.25882352941176473</v>
      </c>
      <c r="E69" s="20">
        <v>90</v>
      </c>
      <c r="F69" s="82">
        <f>E69/$F$67</f>
        <v>0.140625</v>
      </c>
      <c r="H69" s="14"/>
      <c r="I69" s="3"/>
      <c r="J69" s="3"/>
    </row>
    <row r="70" spans="1:10" x14ac:dyDescent="0.25">
      <c r="A70" s="199" t="s">
        <v>29</v>
      </c>
      <c r="B70" s="199"/>
      <c r="C70" s="81">
        <v>91</v>
      </c>
      <c r="D70" s="82">
        <f>C70/$D$67</f>
        <v>0.17843137254901961</v>
      </c>
      <c r="E70" s="20">
        <v>80</v>
      </c>
      <c r="F70" s="82">
        <f>E70/$F$67</f>
        <v>0.125</v>
      </c>
      <c r="H70" s="14"/>
      <c r="I70" s="3"/>
      <c r="J70" s="3"/>
    </row>
    <row r="71" spans="1:10" x14ac:dyDescent="0.25">
      <c r="A71" s="199" t="s">
        <v>30</v>
      </c>
      <c r="B71" s="199"/>
      <c r="C71" s="81">
        <v>147</v>
      </c>
      <c r="D71" s="82">
        <f>C71/$D$67</f>
        <v>0.28823529411764703</v>
      </c>
      <c r="E71" s="20">
        <v>242</v>
      </c>
      <c r="F71" s="82">
        <f>E71/$F$67</f>
        <v>0.37812499999999999</v>
      </c>
      <c r="H71" s="14"/>
      <c r="I71" s="3"/>
      <c r="J71" s="3"/>
    </row>
    <row r="72" spans="1:10" x14ac:dyDescent="0.25">
      <c r="A72" s="195" t="s">
        <v>31</v>
      </c>
      <c r="B72" s="195"/>
      <c r="C72" s="83">
        <v>140</v>
      </c>
      <c r="D72" s="84">
        <f>C72/$D$67</f>
        <v>0.27450980392156865</v>
      </c>
      <c r="E72" s="23">
        <v>229</v>
      </c>
      <c r="F72" s="84">
        <f>E72/$F$67</f>
        <v>0.35781249999999998</v>
      </c>
      <c r="H72" s="14"/>
      <c r="I72" s="3"/>
      <c r="J72" s="3"/>
    </row>
    <row r="73" spans="1:10" x14ac:dyDescent="0.25">
      <c r="A73" s="85"/>
      <c r="B73" s="85"/>
      <c r="C73" s="86"/>
      <c r="D73" s="87">
        <f>SUM(D69:D72)</f>
        <v>1</v>
      </c>
      <c r="E73" s="36"/>
      <c r="F73" s="87">
        <f>SUM(F69:F72)</f>
        <v>1.0015624999999999</v>
      </c>
      <c r="H73" s="14"/>
      <c r="I73" s="3"/>
      <c r="J73" s="3"/>
    </row>
    <row r="74" spans="1:10" x14ac:dyDescent="0.25">
      <c r="A74" s="85"/>
      <c r="B74" s="85"/>
      <c r="C74" s="86"/>
      <c r="D74" s="87"/>
      <c r="E74" s="36"/>
      <c r="F74" s="87"/>
      <c r="H74" s="14"/>
      <c r="I74" s="3"/>
      <c r="J74" s="3"/>
    </row>
    <row r="75" spans="1:10" x14ac:dyDescent="0.25">
      <c r="A75" s="20"/>
      <c r="B75" s="88" t="s">
        <v>4</v>
      </c>
      <c r="C75" s="21" t="s">
        <v>3</v>
      </c>
      <c r="D75" s="89"/>
      <c r="E75" s="20"/>
      <c r="F75" s="20"/>
    </row>
    <row r="76" spans="1:10" x14ac:dyDescent="0.25">
      <c r="A76" s="31" t="s">
        <v>100</v>
      </c>
      <c r="B76" s="198" t="s">
        <v>101</v>
      </c>
      <c r="C76" s="198"/>
      <c r="D76" s="20"/>
      <c r="E76" s="20"/>
      <c r="F76" s="20"/>
    </row>
    <row r="77" spans="1:10" x14ac:dyDescent="0.25">
      <c r="A77" s="25" t="s">
        <v>28</v>
      </c>
      <c r="B77" s="90">
        <v>14.0625</v>
      </c>
      <c r="C77" s="90">
        <v>25.882352941176475</v>
      </c>
      <c r="D77" s="20"/>
      <c r="E77" s="20"/>
      <c r="F77" s="20"/>
    </row>
    <row r="78" spans="1:10" x14ac:dyDescent="0.25">
      <c r="A78" s="25" t="s">
        <v>116</v>
      </c>
      <c r="B78" s="90">
        <v>12.5</v>
      </c>
      <c r="C78" s="90">
        <v>17.843137254901961</v>
      </c>
      <c r="D78" s="20"/>
      <c r="E78" s="20"/>
      <c r="F78" s="20"/>
    </row>
    <row r="79" spans="1:10" x14ac:dyDescent="0.25">
      <c r="A79" s="25" t="s">
        <v>117</v>
      </c>
      <c r="B79" s="90">
        <v>37.8125</v>
      </c>
      <c r="C79" s="90">
        <v>28.823529411764703</v>
      </c>
      <c r="D79" s="20"/>
      <c r="E79" s="20"/>
      <c r="F79" s="20"/>
    </row>
    <row r="80" spans="1:10" x14ac:dyDescent="0.25">
      <c r="A80" s="91" t="s">
        <v>115</v>
      </c>
      <c r="B80" s="92">
        <f>B77+B78+B79</f>
        <v>64.375</v>
      </c>
      <c r="C80" s="93">
        <f>C77+C78+C79</f>
        <v>72.54901960784315</v>
      </c>
      <c r="D80" s="20"/>
      <c r="E80" s="20"/>
      <c r="F80" s="20"/>
    </row>
    <row r="81" spans="1:6" x14ac:dyDescent="0.25">
      <c r="A81" s="85" t="s">
        <v>31</v>
      </c>
      <c r="B81" s="72">
        <v>35.78125</v>
      </c>
      <c r="C81" s="72">
        <v>27.450980392156865</v>
      </c>
      <c r="D81" s="20"/>
      <c r="E81" s="20"/>
      <c r="F81" s="20"/>
    </row>
    <row r="104" spans="1:6" ht="15.6" x14ac:dyDescent="0.3">
      <c r="A104" s="135" t="s">
        <v>118</v>
      </c>
    </row>
    <row r="105" spans="1:6" x14ac:dyDescent="0.25">
      <c r="A105" s="85"/>
      <c r="B105" s="85"/>
      <c r="C105" s="86"/>
      <c r="D105" s="87"/>
      <c r="E105" s="36"/>
      <c r="F105" s="87"/>
    </row>
    <row r="106" spans="1:6" x14ac:dyDescent="0.25">
      <c r="A106" s="36"/>
      <c r="B106" s="36"/>
      <c r="C106" s="21" t="s">
        <v>84</v>
      </c>
      <c r="D106" s="88">
        <v>518</v>
      </c>
      <c r="E106" s="21" t="s">
        <v>84</v>
      </c>
      <c r="F106" s="88">
        <v>696</v>
      </c>
    </row>
    <row r="107" spans="1:6" x14ac:dyDescent="0.25">
      <c r="A107" s="128" t="s">
        <v>128</v>
      </c>
      <c r="B107" s="23"/>
      <c r="C107" s="198" t="s">
        <v>3</v>
      </c>
      <c r="D107" s="198"/>
      <c r="E107" s="198" t="s">
        <v>4</v>
      </c>
      <c r="F107" s="198"/>
    </row>
    <row r="108" spans="1:6" x14ac:dyDescent="0.25">
      <c r="A108" s="199" t="s">
        <v>28</v>
      </c>
      <c r="B108" s="199"/>
      <c r="C108" s="81">
        <v>197</v>
      </c>
      <c r="D108" s="82">
        <f>C108/$D$106</f>
        <v>0.38030888030888033</v>
      </c>
      <c r="E108" s="20">
        <v>88</v>
      </c>
      <c r="F108" s="82">
        <f>E108/$F$106</f>
        <v>0.12643678160919541</v>
      </c>
    </row>
    <row r="109" spans="1:6" x14ac:dyDescent="0.25">
      <c r="A109" s="199" t="s">
        <v>29</v>
      </c>
      <c r="B109" s="199"/>
      <c r="C109" s="81">
        <v>52</v>
      </c>
      <c r="D109" s="82">
        <f>C109/$D$106</f>
        <v>0.10038610038610038</v>
      </c>
      <c r="E109" s="20">
        <v>61</v>
      </c>
      <c r="F109" s="82">
        <f>E109/$F$106</f>
        <v>8.7643678160919544E-2</v>
      </c>
    </row>
    <row r="110" spans="1:6" x14ac:dyDescent="0.25">
      <c r="A110" s="199" t="s">
        <v>30</v>
      </c>
      <c r="B110" s="199"/>
      <c r="C110" s="81">
        <v>112</v>
      </c>
      <c r="D110" s="82">
        <f>C110/$D$106</f>
        <v>0.21621621621621623</v>
      </c>
      <c r="E110" s="20">
        <v>283</v>
      </c>
      <c r="F110" s="82">
        <f>E110/$F$106</f>
        <v>0.40660919540229884</v>
      </c>
    </row>
    <row r="111" spans="1:6" x14ac:dyDescent="0.25">
      <c r="A111" s="195" t="s">
        <v>31</v>
      </c>
      <c r="B111" s="195"/>
      <c r="C111" s="83">
        <v>157</v>
      </c>
      <c r="D111" s="84">
        <f>C111/$D$106</f>
        <v>0.30308880308880309</v>
      </c>
      <c r="E111" s="23">
        <v>264</v>
      </c>
      <c r="F111" s="84">
        <f>E111/$F$106</f>
        <v>0.37931034482758619</v>
      </c>
    </row>
    <row r="112" spans="1:6" x14ac:dyDescent="0.25">
      <c r="A112" s="85"/>
      <c r="B112" s="85"/>
      <c r="C112" s="86">
        <f>SUM(C108:C111)</f>
        <v>518</v>
      </c>
      <c r="D112" s="87">
        <f>SUM(D108:D111)</f>
        <v>1</v>
      </c>
      <c r="E112" s="36">
        <f>SUM(E108:E111)</f>
        <v>696</v>
      </c>
      <c r="F112" s="87">
        <f>SUM(F108:F111)</f>
        <v>1</v>
      </c>
    </row>
    <row r="114" spans="1:6" x14ac:dyDescent="0.25">
      <c r="A114" s="36"/>
      <c r="B114" s="36"/>
      <c r="C114" s="21" t="s">
        <v>84</v>
      </c>
      <c r="D114" s="88">
        <v>599</v>
      </c>
      <c r="E114" s="21" t="s">
        <v>84</v>
      </c>
      <c r="F114" s="88">
        <v>610</v>
      </c>
    </row>
    <row r="115" spans="1:6" x14ac:dyDescent="0.25">
      <c r="A115" s="128" t="s">
        <v>129</v>
      </c>
      <c r="B115" s="23"/>
      <c r="C115" s="198" t="s">
        <v>3</v>
      </c>
      <c r="D115" s="198"/>
      <c r="E115" s="198" t="s">
        <v>4</v>
      </c>
      <c r="F115" s="198"/>
    </row>
    <row r="116" spans="1:6" x14ac:dyDescent="0.25">
      <c r="A116" s="199" t="s">
        <v>28</v>
      </c>
      <c r="B116" s="199"/>
      <c r="C116" s="81">
        <v>148</v>
      </c>
      <c r="D116" s="82">
        <f>C116/$D$114</f>
        <v>0.24707846410684475</v>
      </c>
      <c r="E116" s="20">
        <v>87</v>
      </c>
      <c r="F116" s="82">
        <f>E116/$F$114</f>
        <v>0.14262295081967213</v>
      </c>
    </row>
    <row r="117" spans="1:6" x14ac:dyDescent="0.25">
      <c r="A117" s="199" t="s">
        <v>29</v>
      </c>
      <c r="B117" s="199"/>
      <c r="C117" s="81">
        <v>57</v>
      </c>
      <c r="D117" s="82">
        <f>C117/$D$114</f>
        <v>9.515859766277128E-2</v>
      </c>
      <c r="E117" s="20">
        <v>52</v>
      </c>
      <c r="F117" s="82">
        <f>E117/$F$114</f>
        <v>8.5245901639344257E-2</v>
      </c>
    </row>
    <row r="118" spans="1:6" x14ac:dyDescent="0.25">
      <c r="A118" s="199" t="s">
        <v>30</v>
      </c>
      <c r="B118" s="199"/>
      <c r="C118" s="81">
        <v>243</v>
      </c>
      <c r="D118" s="82">
        <f>C118/$D$114</f>
        <v>0.40567612687813021</v>
      </c>
      <c r="E118" s="20">
        <v>241</v>
      </c>
      <c r="F118" s="82">
        <f>E118/$F$114</f>
        <v>0.39508196721311473</v>
      </c>
    </row>
    <row r="119" spans="1:6" x14ac:dyDescent="0.25">
      <c r="A119" s="195" t="s">
        <v>31</v>
      </c>
      <c r="B119" s="195"/>
      <c r="C119" s="83">
        <v>151</v>
      </c>
      <c r="D119" s="84">
        <f>C119/$D$114</f>
        <v>0.25208681135225375</v>
      </c>
      <c r="E119" s="23">
        <v>230</v>
      </c>
      <c r="F119" s="84">
        <f>E119/$F$114</f>
        <v>0.37704918032786883</v>
      </c>
    </row>
    <row r="120" spans="1:6" x14ac:dyDescent="0.25">
      <c r="A120" s="85"/>
      <c r="B120" s="85"/>
      <c r="C120" s="86">
        <f>SUM(C116:C119)</f>
        <v>599</v>
      </c>
      <c r="D120" s="87">
        <f>SUM(D116:D119)</f>
        <v>1</v>
      </c>
      <c r="E120" s="36">
        <f>SUM(E116:E119)</f>
        <v>610</v>
      </c>
      <c r="F120" s="87">
        <f>SUM(F116:F119)</f>
        <v>1</v>
      </c>
    </row>
    <row r="122" spans="1:6" x14ac:dyDescent="0.25">
      <c r="A122" s="36"/>
      <c r="B122" s="36"/>
      <c r="C122" s="21" t="s">
        <v>84</v>
      </c>
      <c r="D122" s="88">
        <v>474</v>
      </c>
      <c r="E122" s="21" t="s">
        <v>84</v>
      </c>
      <c r="F122" s="88">
        <v>620</v>
      </c>
    </row>
    <row r="123" spans="1:6" x14ac:dyDescent="0.25">
      <c r="A123" s="128" t="s">
        <v>130</v>
      </c>
      <c r="B123" s="23"/>
      <c r="C123" s="198" t="s">
        <v>3</v>
      </c>
      <c r="D123" s="198"/>
      <c r="E123" s="198" t="s">
        <v>4</v>
      </c>
      <c r="F123" s="198"/>
    </row>
    <row r="124" spans="1:6" x14ac:dyDescent="0.25">
      <c r="A124" s="199" t="s">
        <v>28</v>
      </c>
      <c r="B124" s="199"/>
      <c r="C124" s="81">
        <v>91</v>
      </c>
      <c r="D124" s="82">
        <f>C124/$D$122</f>
        <v>0.19198312236286919</v>
      </c>
      <c r="E124" s="20">
        <v>68</v>
      </c>
      <c r="F124" s="82">
        <f>E124/$F$122</f>
        <v>0.10967741935483871</v>
      </c>
    </row>
    <row r="125" spans="1:6" x14ac:dyDescent="0.25">
      <c r="A125" s="199" t="s">
        <v>29</v>
      </c>
      <c r="B125" s="199"/>
      <c r="C125" s="81">
        <v>81</v>
      </c>
      <c r="D125" s="82">
        <f>C125/$D$122</f>
        <v>0.17088607594936708</v>
      </c>
      <c r="E125" s="20">
        <v>66</v>
      </c>
      <c r="F125" s="82">
        <f>E125/$F$122</f>
        <v>0.1064516129032258</v>
      </c>
    </row>
    <row r="126" spans="1:6" x14ac:dyDescent="0.25">
      <c r="A126" s="199" t="s">
        <v>30</v>
      </c>
      <c r="B126" s="199"/>
      <c r="C126" s="81">
        <v>150</v>
      </c>
      <c r="D126" s="82">
        <f>C126/$D$122</f>
        <v>0.31645569620253167</v>
      </c>
      <c r="E126" s="20">
        <v>273</v>
      </c>
      <c r="F126" s="82">
        <f>E126/$F$122</f>
        <v>0.44032258064516128</v>
      </c>
    </row>
    <row r="127" spans="1:6" x14ac:dyDescent="0.25">
      <c r="A127" s="195" t="s">
        <v>31</v>
      </c>
      <c r="B127" s="195"/>
      <c r="C127" s="83">
        <v>152</v>
      </c>
      <c r="D127" s="84">
        <f>C127/$D$122</f>
        <v>0.32067510548523209</v>
      </c>
      <c r="E127" s="23">
        <v>213</v>
      </c>
      <c r="F127" s="84">
        <f>E127/$F$122</f>
        <v>0.34354838709677421</v>
      </c>
    </row>
    <row r="128" spans="1:6" x14ac:dyDescent="0.25">
      <c r="A128" s="85"/>
      <c r="B128" s="85"/>
      <c r="C128" s="86">
        <f>SUM(C124:C127)</f>
        <v>474</v>
      </c>
      <c r="D128" s="87">
        <f>SUM(D124:D127)</f>
        <v>1</v>
      </c>
      <c r="E128" s="36">
        <f>SUM(E124:E127)</f>
        <v>620</v>
      </c>
      <c r="F128" s="87">
        <f>SUM(F124:F127)</f>
        <v>1</v>
      </c>
    </row>
    <row r="129" spans="1:11" x14ac:dyDescent="0.25">
      <c r="A129" s="85"/>
      <c r="B129" s="85"/>
      <c r="C129" s="86"/>
      <c r="D129" s="87"/>
      <c r="E129" s="36"/>
      <c r="F129" s="87"/>
    </row>
    <row r="130" spans="1:11" x14ac:dyDescent="0.25">
      <c r="A130" s="36"/>
      <c r="B130" s="36"/>
      <c r="C130" s="21" t="s">
        <v>84</v>
      </c>
      <c r="D130" s="88">
        <v>510</v>
      </c>
      <c r="E130" s="21" t="s">
        <v>84</v>
      </c>
      <c r="F130" s="88">
        <v>640</v>
      </c>
    </row>
    <row r="131" spans="1:11" x14ac:dyDescent="0.25">
      <c r="A131" s="128" t="s">
        <v>131</v>
      </c>
      <c r="B131" s="23"/>
      <c r="C131" s="198" t="s">
        <v>3</v>
      </c>
      <c r="D131" s="198"/>
      <c r="E131" s="198" t="s">
        <v>4</v>
      </c>
      <c r="F131" s="198"/>
    </row>
    <row r="132" spans="1:11" x14ac:dyDescent="0.25">
      <c r="A132" s="199" t="s">
        <v>28</v>
      </c>
      <c r="B132" s="199"/>
      <c r="C132" s="81">
        <v>132</v>
      </c>
      <c r="D132" s="82">
        <f>C132/$D$130</f>
        <v>0.25882352941176473</v>
      </c>
      <c r="E132" s="20">
        <v>89</v>
      </c>
      <c r="F132" s="82">
        <f>E132/$F$130</f>
        <v>0.13906250000000001</v>
      </c>
    </row>
    <row r="133" spans="1:11" x14ac:dyDescent="0.25">
      <c r="A133" s="199" t="s">
        <v>29</v>
      </c>
      <c r="B133" s="199"/>
      <c r="C133" s="81">
        <v>91</v>
      </c>
      <c r="D133" s="82">
        <f>C133/$D$130</f>
        <v>0.17843137254901961</v>
      </c>
      <c r="E133" s="20">
        <v>80</v>
      </c>
      <c r="F133" s="82">
        <f>E133/$F$130</f>
        <v>0.125</v>
      </c>
    </row>
    <row r="134" spans="1:11" x14ac:dyDescent="0.25">
      <c r="A134" s="199" t="s">
        <v>30</v>
      </c>
      <c r="B134" s="199"/>
      <c r="C134" s="81">
        <v>147</v>
      </c>
      <c r="D134" s="82">
        <f>C134/$D$130</f>
        <v>0.28823529411764703</v>
      </c>
      <c r="E134" s="20">
        <v>242</v>
      </c>
      <c r="F134" s="82">
        <f>E134/$F$130</f>
        <v>0.37812499999999999</v>
      </c>
    </row>
    <row r="135" spans="1:11" x14ac:dyDescent="0.25">
      <c r="A135" s="195" t="s">
        <v>31</v>
      </c>
      <c r="B135" s="195"/>
      <c r="C135" s="83">
        <v>140</v>
      </c>
      <c r="D135" s="84">
        <f>C135/$D$130</f>
        <v>0.27450980392156865</v>
      </c>
      <c r="E135" s="23">
        <v>229</v>
      </c>
      <c r="F135" s="84">
        <f>E135/$F$130</f>
        <v>0.35781249999999998</v>
      </c>
    </row>
    <row r="136" spans="1:11" x14ac:dyDescent="0.25">
      <c r="A136" s="85"/>
      <c r="B136" s="85"/>
      <c r="C136" s="86">
        <f>SUM(C132:C135)</f>
        <v>510</v>
      </c>
      <c r="D136" s="87">
        <f>SUM(D132:D135)</f>
        <v>1</v>
      </c>
      <c r="E136" s="36">
        <f>SUM(E132:E135)</f>
        <v>640</v>
      </c>
      <c r="F136" s="87">
        <f>SUM(F132:F135)</f>
        <v>0.99999999999999989</v>
      </c>
    </row>
    <row r="138" spans="1:11" x14ac:dyDescent="0.25">
      <c r="B138" s="214" t="s">
        <v>96</v>
      </c>
      <c r="C138" s="214"/>
      <c r="D138" s="214"/>
      <c r="E138" s="214"/>
      <c r="F138" s="7"/>
      <c r="G138" s="7"/>
      <c r="H138" s="213" t="s">
        <v>92</v>
      </c>
      <c r="I138" s="213"/>
      <c r="J138" s="213"/>
      <c r="K138" s="213"/>
    </row>
    <row r="139" spans="1:11" x14ac:dyDescent="0.25">
      <c r="A139" s="31" t="s">
        <v>100</v>
      </c>
      <c r="B139" s="31">
        <v>2007</v>
      </c>
      <c r="C139" s="31">
        <v>2011</v>
      </c>
      <c r="D139" s="129">
        <v>2013</v>
      </c>
      <c r="E139" s="129">
        <v>2015</v>
      </c>
      <c r="F139" s="195" t="s">
        <v>100</v>
      </c>
      <c r="G139" s="195"/>
      <c r="H139" s="31">
        <v>2007</v>
      </c>
      <c r="I139" s="31">
        <v>2011</v>
      </c>
      <c r="J139" s="129">
        <v>2013</v>
      </c>
      <c r="K139" s="129">
        <v>2015</v>
      </c>
    </row>
    <row r="140" spans="1:11" x14ac:dyDescent="0.25">
      <c r="A140" s="25" t="s">
        <v>28</v>
      </c>
      <c r="B140" s="130">
        <v>0.12643678160919541</v>
      </c>
      <c r="C140" s="130">
        <v>0.14262295081967213</v>
      </c>
      <c r="D140" s="131">
        <v>0.10967741935483871</v>
      </c>
      <c r="E140" s="175">
        <v>0.13906250000000001</v>
      </c>
      <c r="F140" s="196" t="s">
        <v>28</v>
      </c>
      <c r="G140" s="196"/>
      <c r="H140" s="130">
        <v>0.38030888030888033</v>
      </c>
      <c r="I140" s="130">
        <v>0.24707846410684475</v>
      </c>
      <c r="J140" s="131">
        <v>0.19198312236286919</v>
      </c>
      <c r="K140" s="131">
        <v>0.25882352941176473</v>
      </c>
    </row>
    <row r="141" spans="1:11" x14ac:dyDescent="0.25">
      <c r="A141" s="25" t="s">
        <v>116</v>
      </c>
      <c r="B141" s="130">
        <v>8.7643678160919544E-2</v>
      </c>
      <c r="C141" s="130">
        <v>8.5245901639344257E-2</v>
      </c>
      <c r="D141" s="131">
        <v>0.1064516129032258</v>
      </c>
      <c r="E141" s="175">
        <v>0.125</v>
      </c>
      <c r="F141" s="196" t="s">
        <v>116</v>
      </c>
      <c r="G141" s="196"/>
      <c r="H141" s="130">
        <v>0.10038610038610038</v>
      </c>
      <c r="I141" s="130">
        <v>9.515859766277128E-2</v>
      </c>
      <c r="J141" s="131">
        <v>0.17088607594936708</v>
      </c>
      <c r="K141" s="131">
        <v>0.17843137254901961</v>
      </c>
    </row>
    <row r="142" spans="1:11" x14ac:dyDescent="0.25">
      <c r="A142" s="25" t="s">
        <v>117</v>
      </c>
      <c r="B142" s="130">
        <v>0.40660919540229884</v>
      </c>
      <c r="C142" s="130">
        <v>0.39508196721311473</v>
      </c>
      <c r="D142" s="131">
        <v>0.44032258064516128</v>
      </c>
      <c r="E142" s="175">
        <v>0.37812499999999999</v>
      </c>
      <c r="F142" s="196" t="s">
        <v>117</v>
      </c>
      <c r="G142" s="196"/>
      <c r="H142" s="130">
        <v>0.21621621621621623</v>
      </c>
      <c r="I142" s="130">
        <v>0.40567612687813021</v>
      </c>
      <c r="J142" s="131">
        <v>0.31645569620253167</v>
      </c>
      <c r="K142" s="131">
        <v>0.28823529411764703</v>
      </c>
    </row>
    <row r="143" spans="1:11" x14ac:dyDescent="0.25">
      <c r="A143" s="31" t="s">
        <v>31</v>
      </c>
      <c r="B143" s="133">
        <v>0.37931034482758619</v>
      </c>
      <c r="C143" s="133">
        <v>0.37704918032786883</v>
      </c>
      <c r="D143" s="134">
        <v>0.34354838709677421</v>
      </c>
      <c r="E143" s="134">
        <v>0.35781249999999998</v>
      </c>
      <c r="F143" s="195" t="s">
        <v>31</v>
      </c>
      <c r="G143" s="195"/>
      <c r="H143" s="133">
        <v>0.30308880308880309</v>
      </c>
      <c r="I143" s="133">
        <v>0.25208681135225375</v>
      </c>
      <c r="J143" s="134">
        <v>0.32067510548523209</v>
      </c>
      <c r="K143" s="134">
        <v>0.27450980392156865</v>
      </c>
    </row>
    <row r="144" spans="1:11" x14ac:dyDescent="0.25">
      <c r="A144" s="85" t="s">
        <v>115</v>
      </c>
      <c r="B144" s="132">
        <f>B140+B141+B142</f>
        <v>0.62068965517241381</v>
      </c>
      <c r="C144" s="132">
        <f>C140+C141+C142</f>
        <v>0.62295081967213117</v>
      </c>
      <c r="D144" s="132">
        <f>D140+D141+D142</f>
        <v>0.65645161290322585</v>
      </c>
      <c r="E144" s="132">
        <f>E140+E141+E142</f>
        <v>0.64218749999999991</v>
      </c>
      <c r="F144" s="196" t="s">
        <v>115</v>
      </c>
      <c r="G144" s="196"/>
      <c r="H144" s="132">
        <f>H140+H141+H142</f>
        <v>0.69691119691119696</v>
      </c>
      <c r="I144" s="132">
        <f>I140+I141+I142</f>
        <v>0.74791318864774625</v>
      </c>
      <c r="J144" s="132">
        <f>J140+J141+J142</f>
        <v>0.67932489451476796</v>
      </c>
      <c r="K144" s="132">
        <f>K140+K141+K142</f>
        <v>0.72549019607843135</v>
      </c>
    </row>
    <row r="146" spans="1:5" x14ac:dyDescent="0.25">
      <c r="B146" s="131"/>
      <c r="C146" s="131"/>
      <c r="D146" s="131"/>
      <c r="E146" s="131"/>
    </row>
    <row r="147" spans="1:5" x14ac:dyDescent="0.25">
      <c r="A147" s="197" t="s">
        <v>99</v>
      </c>
      <c r="B147" s="197"/>
      <c r="C147" s="197"/>
      <c r="D147" s="25"/>
      <c r="E147" s="25"/>
    </row>
    <row r="148" spans="1:5" x14ac:dyDescent="0.25">
      <c r="A148" s="31"/>
      <c r="B148" s="31">
        <v>2007</v>
      </c>
      <c r="C148" s="31">
        <v>2015</v>
      </c>
      <c r="D148" s="21"/>
    </row>
    <row r="149" spans="1:5" x14ac:dyDescent="0.25">
      <c r="A149" s="20" t="s">
        <v>0</v>
      </c>
      <c r="B149" s="22">
        <v>38.700000000000003</v>
      </c>
      <c r="C149" s="20">
        <v>43.3</v>
      </c>
      <c r="D149" s="37"/>
    </row>
    <row r="150" spans="1:5" x14ac:dyDescent="0.25">
      <c r="A150" s="20" t="s">
        <v>3</v>
      </c>
      <c r="B150" s="22">
        <v>26.1</v>
      </c>
      <c r="C150" s="20">
        <v>25.1</v>
      </c>
      <c r="D150" s="22"/>
    </row>
    <row r="151" spans="1:5" x14ac:dyDescent="0.25">
      <c r="A151" s="76" t="s">
        <v>126</v>
      </c>
      <c r="B151" s="22">
        <v>64.8</v>
      </c>
      <c r="C151" s="77">
        <v>68.400000000000006</v>
      </c>
      <c r="D151" s="78"/>
    </row>
    <row r="152" spans="1:5" x14ac:dyDescent="0.25">
      <c r="A152" s="20" t="s">
        <v>4</v>
      </c>
      <c r="B152" s="22">
        <v>35.1</v>
      </c>
      <c r="C152" s="20">
        <v>31.6</v>
      </c>
      <c r="D152" s="22"/>
    </row>
    <row r="160" spans="1:5" x14ac:dyDescent="0.25">
      <c r="B160" s="37"/>
      <c r="C160" s="37"/>
    </row>
  </sheetData>
  <mergeCells count="56">
    <mergeCell ref="A147:C147"/>
    <mergeCell ref="H138:K138"/>
    <mergeCell ref="B138:E138"/>
    <mergeCell ref="E123:F123"/>
    <mergeCell ref="A124:B124"/>
    <mergeCell ref="A125:B125"/>
    <mergeCell ref="A126:B126"/>
    <mergeCell ref="A134:B134"/>
    <mergeCell ref="A135:B135"/>
    <mergeCell ref="A127:B127"/>
    <mergeCell ref="C131:D131"/>
    <mergeCell ref="E115:F115"/>
    <mergeCell ref="A116:B116"/>
    <mergeCell ref="A117:B117"/>
    <mergeCell ref="A118:B118"/>
    <mergeCell ref="E131:F131"/>
    <mergeCell ref="C115:D115"/>
    <mergeCell ref="A119:B119"/>
    <mergeCell ref="C123:D123"/>
    <mergeCell ref="E107:F107"/>
    <mergeCell ref="A108:B108"/>
    <mergeCell ref="A109:B109"/>
    <mergeCell ref="A110:B110"/>
    <mergeCell ref="C107:D107"/>
    <mergeCell ref="A111:B111"/>
    <mergeCell ref="A132:B132"/>
    <mergeCell ref="A133:B133"/>
    <mergeCell ref="A1:K1"/>
    <mergeCell ref="A2:K2"/>
    <mergeCell ref="A3:K3"/>
    <mergeCell ref="A6:K6"/>
    <mergeCell ref="B10:K10"/>
    <mergeCell ref="B11:K11"/>
    <mergeCell ref="A5:K5"/>
    <mergeCell ref="B8:K8"/>
    <mergeCell ref="B9:K9"/>
    <mergeCell ref="B16:K16"/>
    <mergeCell ref="B17:K17"/>
    <mergeCell ref="B12:K12"/>
    <mergeCell ref="B13:K13"/>
    <mergeCell ref="B14:K14"/>
    <mergeCell ref="B15:K15"/>
    <mergeCell ref="B39:E39"/>
    <mergeCell ref="E68:F68"/>
    <mergeCell ref="C68:D68"/>
    <mergeCell ref="B76:C76"/>
    <mergeCell ref="A69:B69"/>
    <mergeCell ref="A70:B70"/>
    <mergeCell ref="A71:B71"/>
    <mergeCell ref="A72:B72"/>
    <mergeCell ref="F143:G143"/>
    <mergeCell ref="F144:G144"/>
    <mergeCell ref="F139:G139"/>
    <mergeCell ref="F140:G140"/>
    <mergeCell ref="F141:G141"/>
    <mergeCell ref="F142:G142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rowBreaks count="4" manualBreakCount="4">
    <brk id="37" max="16383" man="1"/>
    <brk id="66" max="16383" man="1"/>
    <brk id="103" max="16383" man="1"/>
    <brk id="1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216" workbookViewId="0">
      <selection activeCell="I241" sqref="I241"/>
    </sheetView>
  </sheetViews>
  <sheetFormatPr baseColWidth="10" defaultRowHeight="13.2" x14ac:dyDescent="0.25"/>
  <cols>
    <col min="1" max="1" width="13" style="1" customWidth="1"/>
    <col min="2" max="2" width="8" bestFit="1" customWidth="1"/>
    <col min="3" max="3" width="6.5546875" bestFit="1" customWidth="1"/>
    <col min="4" max="4" width="7.33203125" customWidth="1"/>
    <col min="5" max="8" width="6.33203125" bestFit="1" customWidth="1"/>
    <col min="9" max="9" width="7.5546875" bestFit="1" customWidth="1"/>
    <col min="10" max="11" width="6.33203125" bestFit="1" customWidth="1"/>
  </cols>
  <sheetData>
    <row r="1" spans="1:11" s="20" customFormat="1" ht="17.399999999999999" x14ac:dyDescent="0.25">
      <c r="A1" s="219" t="s">
        <v>32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s="20" customFormat="1" ht="15.6" x14ac:dyDescent="0.25">
      <c r="A2" s="220" t="s">
        <v>33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s="20" customFormat="1" ht="15.6" x14ac:dyDescent="0.25">
      <c r="A3" s="220" t="s">
        <v>133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s="20" customFormat="1" x14ac:dyDescent="0.25">
      <c r="A4" s="40"/>
    </row>
    <row r="5" spans="1:11" s="20" customFormat="1" x14ac:dyDescent="0.25">
      <c r="A5" s="40"/>
    </row>
    <row r="6" spans="1:11" s="20" customFormat="1" x14ac:dyDescent="0.25">
      <c r="A6" s="41"/>
      <c r="B6" s="215" t="s">
        <v>90</v>
      </c>
      <c r="C6" s="215"/>
      <c r="D6" s="215"/>
      <c r="E6" s="215"/>
      <c r="F6" s="215"/>
      <c r="G6" s="215"/>
      <c r="H6" s="216"/>
    </row>
    <row r="7" spans="1:11" s="20" customFormat="1" ht="26.4" x14ac:dyDescent="0.25">
      <c r="A7" s="42" t="s">
        <v>127</v>
      </c>
      <c r="B7" s="43" t="s">
        <v>5</v>
      </c>
      <c r="C7" s="43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4" t="s">
        <v>11</v>
      </c>
    </row>
    <row r="8" spans="1:11" s="20" customFormat="1" x14ac:dyDescent="0.25">
      <c r="A8" s="42" t="s">
        <v>1</v>
      </c>
      <c r="B8" s="37">
        <v>49.59349593495935</v>
      </c>
      <c r="C8" s="37">
        <v>31.836734693877549</v>
      </c>
      <c r="D8" s="37">
        <v>38.509316770186338</v>
      </c>
      <c r="E8" s="37">
        <v>32.880434782608695</v>
      </c>
      <c r="F8" s="37">
        <v>33.788395904436861</v>
      </c>
      <c r="G8" s="37">
        <v>38.650306748466257</v>
      </c>
      <c r="H8" s="45">
        <v>51.973684210526315</v>
      </c>
    </row>
    <row r="9" spans="1:11" s="20" customFormat="1" x14ac:dyDescent="0.25">
      <c r="A9" s="42" t="s">
        <v>2</v>
      </c>
      <c r="B9" s="37">
        <v>71.666666666666671</v>
      </c>
      <c r="C9" s="37">
        <v>42.955326460481096</v>
      </c>
      <c r="D9" s="37">
        <v>33.779264214046819</v>
      </c>
      <c r="E9" s="37">
        <v>34.382566585956411</v>
      </c>
      <c r="F9" s="37">
        <v>33.529411764705877</v>
      </c>
      <c r="G9" s="37">
        <v>44.067796610169488</v>
      </c>
      <c r="H9" s="45">
        <v>56.97674418604651</v>
      </c>
      <c r="I9" s="36"/>
    </row>
    <row r="10" spans="1:11" s="20" customFormat="1" x14ac:dyDescent="0.25">
      <c r="A10" s="42" t="s">
        <v>13</v>
      </c>
      <c r="B10" s="37">
        <v>73.099999999999994</v>
      </c>
      <c r="C10" s="37">
        <v>43.5</v>
      </c>
      <c r="D10" s="37">
        <v>39.1</v>
      </c>
      <c r="E10" s="37">
        <v>42.1</v>
      </c>
      <c r="F10" s="37">
        <v>34.9</v>
      </c>
      <c r="G10" s="37">
        <v>38.299999999999997</v>
      </c>
      <c r="H10" s="45">
        <v>60.8</v>
      </c>
      <c r="I10" s="36"/>
    </row>
    <row r="11" spans="1:11" s="20" customFormat="1" x14ac:dyDescent="0.25">
      <c r="A11" s="46" t="s">
        <v>35</v>
      </c>
      <c r="B11" s="24">
        <v>74.900000000000006</v>
      </c>
      <c r="C11" s="24">
        <v>50.3</v>
      </c>
      <c r="D11" s="24">
        <v>36.9</v>
      </c>
      <c r="E11" s="24">
        <v>37.1</v>
      </c>
      <c r="F11" s="24">
        <v>37.299999999999997</v>
      </c>
      <c r="G11" s="24">
        <v>36.5</v>
      </c>
      <c r="H11" s="47">
        <v>50.7</v>
      </c>
      <c r="I11" s="23"/>
    </row>
    <row r="12" spans="1:11" s="20" customFormat="1" x14ac:dyDescent="0.25">
      <c r="A12" s="41" t="s">
        <v>127</v>
      </c>
      <c r="B12" s="217" t="s">
        <v>91</v>
      </c>
      <c r="C12" s="217"/>
      <c r="D12" s="217"/>
      <c r="E12" s="217"/>
      <c r="F12" s="217"/>
      <c r="G12" s="217"/>
      <c r="H12" s="217"/>
      <c r="I12" s="48" t="s">
        <v>12</v>
      </c>
    </row>
    <row r="13" spans="1:11" s="20" customFormat="1" x14ac:dyDescent="0.25">
      <c r="A13" s="42" t="s">
        <v>1</v>
      </c>
      <c r="B13" s="49">
        <v>61</v>
      </c>
      <c r="C13" s="49">
        <v>78</v>
      </c>
      <c r="D13" s="49">
        <v>124</v>
      </c>
      <c r="E13" s="49">
        <v>121</v>
      </c>
      <c r="F13" s="49">
        <v>99</v>
      </c>
      <c r="G13" s="49">
        <v>126</v>
      </c>
      <c r="H13" s="49">
        <v>158</v>
      </c>
      <c r="I13" s="50">
        <f>SUM(B13:H13)</f>
        <v>767</v>
      </c>
    </row>
    <row r="14" spans="1:11" s="20" customFormat="1" x14ac:dyDescent="0.25">
      <c r="A14" s="42" t="s">
        <v>2</v>
      </c>
      <c r="B14" s="49">
        <v>86</v>
      </c>
      <c r="C14" s="49">
        <v>125</v>
      </c>
      <c r="D14" s="49">
        <v>101</v>
      </c>
      <c r="E14" s="49">
        <v>142</v>
      </c>
      <c r="F14" s="49">
        <v>114</v>
      </c>
      <c r="G14" s="49">
        <v>130</v>
      </c>
      <c r="H14" s="49">
        <v>196</v>
      </c>
      <c r="I14" s="50">
        <f>SUM(B14:H14)</f>
        <v>894</v>
      </c>
    </row>
    <row r="15" spans="1:11" s="20" customFormat="1" x14ac:dyDescent="0.25">
      <c r="A15" s="42" t="s">
        <v>13</v>
      </c>
      <c r="B15" s="36">
        <v>78</v>
      </c>
      <c r="C15" s="36">
        <v>124</v>
      </c>
      <c r="D15" s="36">
        <v>108</v>
      </c>
      <c r="E15" s="36">
        <v>167</v>
      </c>
      <c r="F15" s="36">
        <v>122</v>
      </c>
      <c r="G15" s="36">
        <v>104</v>
      </c>
      <c r="H15" s="36">
        <v>222</v>
      </c>
      <c r="I15" s="50">
        <f>SUM(B15:H15)</f>
        <v>925</v>
      </c>
    </row>
    <row r="16" spans="1:11" s="20" customFormat="1" x14ac:dyDescent="0.25">
      <c r="A16" s="46" t="s">
        <v>35</v>
      </c>
      <c r="B16" s="23">
        <v>79</v>
      </c>
      <c r="C16" s="23">
        <v>144</v>
      </c>
      <c r="D16" s="23">
        <v>104</v>
      </c>
      <c r="E16" s="23">
        <v>140</v>
      </c>
      <c r="F16" s="23">
        <v>132</v>
      </c>
      <c r="G16" s="23">
        <v>95</v>
      </c>
      <c r="H16" s="23">
        <v>184</v>
      </c>
      <c r="I16" s="51">
        <f>SUM(B16:H16)</f>
        <v>878</v>
      </c>
    </row>
    <row r="40" spans="1:11" s="20" customFormat="1" ht="17.399999999999999" x14ac:dyDescent="0.25">
      <c r="A40" s="219" t="s">
        <v>32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</row>
    <row r="41" spans="1:11" s="20" customFormat="1" ht="15.6" x14ac:dyDescent="0.25">
      <c r="A41" s="220" t="s">
        <v>33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 s="20" customFormat="1" ht="15.6" x14ac:dyDescent="0.25">
      <c r="A42" s="220" t="s">
        <v>133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</row>
    <row r="43" spans="1:11" s="20" customFormat="1" x14ac:dyDescent="0.25">
      <c r="A43" s="40"/>
    </row>
    <row r="44" spans="1:11" s="20" customFormat="1" x14ac:dyDescent="0.25">
      <c r="A44" s="40"/>
    </row>
    <row r="45" spans="1:11" s="20" customFormat="1" x14ac:dyDescent="0.25">
      <c r="A45" s="41"/>
      <c r="B45" s="215" t="s">
        <v>92</v>
      </c>
      <c r="C45" s="215"/>
      <c r="D45" s="215"/>
      <c r="E45" s="215"/>
      <c r="F45" s="215"/>
      <c r="G45" s="215"/>
      <c r="H45" s="216"/>
    </row>
    <row r="46" spans="1:11" s="20" customFormat="1" ht="26.4" x14ac:dyDescent="0.25">
      <c r="A46" s="42" t="s">
        <v>127</v>
      </c>
      <c r="B46" s="43" t="s">
        <v>5</v>
      </c>
      <c r="C46" s="43" t="s">
        <v>6</v>
      </c>
      <c r="D46" s="43" t="s">
        <v>7</v>
      </c>
      <c r="E46" s="43" t="s">
        <v>8</v>
      </c>
      <c r="F46" s="43" t="s">
        <v>9</v>
      </c>
      <c r="G46" s="43" t="s">
        <v>10</v>
      </c>
      <c r="H46" s="44" t="s">
        <v>11</v>
      </c>
    </row>
    <row r="47" spans="1:11" s="20" customFormat="1" x14ac:dyDescent="0.25">
      <c r="A47" s="42" t="s">
        <v>1</v>
      </c>
      <c r="B47" s="52">
        <v>7.3170731707317067</v>
      </c>
      <c r="C47" s="52">
        <v>14.285714285714285</v>
      </c>
      <c r="D47" s="52">
        <v>17.080745341614907</v>
      </c>
      <c r="E47" s="52">
        <v>23.641304347826086</v>
      </c>
      <c r="F47" s="52">
        <v>30.716723549488055</v>
      </c>
      <c r="G47" s="52">
        <v>38.343558282208591</v>
      </c>
      <c r="H47" s="53">
        <v>38.486842105263158</v>
      </c>
    </row>
    <row r="48" spans="1:11" s="20" customFormat="1" x14ac:dyDescent="0.25">
      <c r="A48" s="42" t="s">
        <v>2</v>
      </c>
      <c r="B48" s="37">
        <v>7.3</v>
      </c>
      <c r="C48" s="37">
        <v>19.899999999999999</v>
      </c>
      <c r="D48" s="37">
        <v>25.2</v>
      </c>
      <c r="E48" s="37">
        <v>23.857869249394671</v>
      </c>
      <c r="F48" s="37">
        <v>34.9</v>
      </c>
      <c r="G48" s="37">
        <v>40.6</v>
      </c>
      <c r="H48" s="45">
        <v>34.6</v>
      </c>
      <c r="I48" s="36"/>
    </row>
    <row r="49" spans="1:9" s="20" customFormat="1" x14ac:dyDescent="0.25">
      <c r="A49" s="42" t="s">
        <v>13</v>
      </c>
      <c r="B49" s="37">
        <v>1.6</v>
      </c>
      <c r="C49" s="37">
        <v>9.6999999999999993</v>
      </c>
      <c r="D49" s="37">
        <v>22.6</v>
      </c>
      <c r="E49" s="37">
        <v>21.6</v>
      </c>
      <c r="F49" s="37">
        <v>26.3</v>
      </c>
      <c r="G49" s="37">
        <v>37.299999999999997</v>
      </c>
      <c r="H49" s="45">
        <v>28.5</v>
      </c>
      <c r="I49" s="36"/>
    </row>
    <row r="50" spans="1:9" s="20" customFormat="1" x14ac:dyDescent="0.25">
      <c r="A50" s="46" t="s">
        <v>35</v>
      </c>
      <c r="B50" s="24">
        <v>1.8</v>
      </c>
      <c r="C50" s="24">
        <v>9.5</v>
      </c>
      <c r="D50" s="24">
        <v>22.1</v>
      </c>
      <c r="E50" s="24">
        <v>24.1</v>
      </c>
      <c r="F50" s="24">
        <v>22.7</v>
      </c>
      <c r="G50" s="24">
        <v>38.200000000000003</v>
      </c>
      <c r="H50" s="47">
        <v>40.799999999999997</v>
      </c>
      <c r="I50" s="23"/>
    </row>
    <row r="51" spans="1:9" s="20" customFormat="1" x14ac:dyDescent="0.25">
      <c r="A51" s="41" t="s">
        <v>127</v>
      </c>
      <c r="B51" s="217" t="s">
        <v>93</v>
      </c>
      <c r="C51" s="217"/>
      <c r="D51" s="217"/>
      <c r="E51" s="217"/>
      <c r="F51" s="217"/>
      <c r="G51" s="217"/>
      <c r="H51" s="218"/>
      <c r="I51" s="48" t="s">
        <v>12</v>
      </c>
    </row>
    <row r="52" spans="1:9" s="20" customFormat="1" x14ac:dyDescent="0.25">
      <c r="A52" s="42" t="s">
        <v>1</v>
      </c>
      <c r="B52" s="49">
        <v>9</v>
      </c>
      <c r="C52" s="49">
        <v>35</v>
      </c>
      <c r="D52" s="49">
        <v>55</v>
      </c>
      <c r="E52" s="49">
        <v>87</v>
      </c>
      <c r="F52" s="49">
        <v>90</v>
      </c>
      <c r="G52" s="49">
        <v>125</v>
      </c>
      <c r="H52" s="49">
        <v>117</v>
      </c>
      <c r="I52" s="50">
        <f>SUM(B52:H52)</f>
        <v>518</v>
      </c>
    </row>
    <row r="53" spans="1:9" s="20" customFormat="1" x14ac:dyDescent="0.25">
      <c r="A53" s="42" t="s">
        <v>2</v>
      </c>
      <c r="B53" s="49">
        <v>8.76</v>
      </c>
      <c r="C53" s="49">
        <v>57.909000000000006</v>
      </c>
      <c r="D53" s="49">
        <v>75.347999999999999</v>
      </c>
      <c r="E53" s="49">
        <v>98.533000000000001</v>
      </c>
      <c r="F53" s="49">
        <v>118.66</v>
      </c>
      <c r="G53" s="49">
        <v>119.77</v>
      </c>
      <c r="H53" s="49">
        <v>119.02399999999999</v>
      </c>
      <c r="I53" s="50">
        <f>SUM(B53:H53)</f>
        <v>598.00400000000002</v>
      </c>
    </row>
    <row r="54" spans="1:9" s="20" customFormat="1" x14ac:dyDescent="0.25">
      <c r="A54" s="42" t="s">
        <v>13</v>
      </c>
      <c r="B54" s="36">
        <v>2</v>
      </c>
      <c r="C54" s="36">
        <v>28</v>
      </c>
      <c r="D54" s="36">
        <v>62</v>
      </c>
      <c r="E54" s="36">
        <v>86</v>
      </c>
      <c r="F54" s="36">
        <v>92</v>
      </c>
      <c r="G54" s="36">
        <v>101</v>
      </c>
      <c r="H54" s="36">
        <v>105</v>
      </c>
      <c r="I54" s="50">
        <f>SUM(B54:H54)</f>
        <v>476</v>
      </c>
    </row>
    <row r="55" spans="1:9" s="20" customFormat="1" x14ac:dyDescent="0.25">
      <c r="A55" s="46" t="s">
        <v>35</v>
      </c>
      <c r="B55" s="23">
        <v>2</v>
      </c>
      <c r="C55" s="23">
        <v>27</v>
      </c>
      <c r="D55" s="23">
        <v>62</v>
      </c>
      <c r="E55" s="23">
        <v>91</v>
      </c>
      <c r="F55" s="23">
        <v>80</v>
      </c>
      <c r="G55" s="23">
        <v>99</v>
      </c>
      <c r="H55" s="23">
        <v>148</v>
      </c>
      <c r="I55" s="51">
        <f>SUM(B55:H55)</f>
        <v>509</v>
      </c>
    </row>
    <row r="56" spans="1:9" x14ac:dyDescent="0.25">
      <c r="I56" s="6"/>
    </row>
    <row r="57" spans="1:9" x14ac:dyDescent="0.25">
      <c r="I57" s="6"/>
    </row>
    <row r="58" spans="1:9" x14ac:dyDescent="0.25">
      <c r="I58" s="6"/>
    </row>
    <row r="77" spans="1:11" s="20" customFormat="1" ht="17.399999999999999" x14ac:dyDescent="0.25">
      <c r="A77" s="219" t="s">
        <v>32</v>
      </c>
      <c r="B77" s="219"/>
      <c r="C77" s="219"/>
      <c r="D77" s="219"/>
      <c r="E77" s="219"/>
      <c r="F77" s="219"/>
      <c r="G77" s="219"/>
      <c r="H77" s="219"/>
      <c r="I77" s="219"/>
      <c r="J77" s="219"/>
      <c r="K77" s="219"/>
    </row>
    <row r="78" spans="1:11" s="20" customFormat="1" ht="15.6" x14ac:dyDescent="0.25">
      <c r="A78" s="220" t="s">
        <v>33</v>
      </c>
      <c r="B78" s="220"/>
      <c r="C78" s="220"/>
      <c r="D78" s="220"/>
      <c r="E78" s="220"/>
      <c r="F78" s="220"/>
      <c r="G78" s="220"/>
      <c r="H78" s="220"/>
      <c r="I78" s="220"/>
      <c r="J78" s="220"/>
      <c r="K78" s="220"/>
    </row>
    <row r="79" spans="1:11" s="20" customFormat="1" ht="15.6" x14ac:dyDescent="0.25">
      <c r="A79" s="220" t="s">
        <v>133</v>
      </c>
      <c r="B79" s="220"/>
      <c r="C79" s="220"/>
      <c r="D79" s="220"/>
      <c r="E79" s="220"/>
      <c r="F79" s="220"/>
      <c r="G79" s="220"/>
      <c r="H79" s="220"/>
      <c r="I79" s="220"/>
      <c r="J79" s="220"/>
      <c r="K79" s="220"/>
    </row>
    <row r="80" spans="1:11" s="20" customFormat="1" x14ac:dyDescent="0.25">
      <c r="A80" s="40"/>
    </row>
    <row r="81" spans="1:11" s="20" customFormat="1" x14ac:dyDescent="0.25">
      <c r="A81" s="40"/>
    </row>
    <row r="82" spans="1:11" s="20" customFormat="1" x14ac:dyDescent="0.25">
      <c r="A82" s="41"/>
      <c r="B82" s="215" t="s">
        <v>95</v>
      </c>
      <c r="C82" s="215"/>
      <c r="D82" s="215"/>
      <c r="E82" s="215"/>
      <c r="F82" s="215"/>
      <c r="G82" s="215"/>
      <c r="H82" s="216"/>
      <c r="K82" s="54"/>
    </row>
    <row r="83" spans="1:11" s="20" customFormat="1" ht="26.4" x14ac:dyDescent="0.25">
      <c r="A83" s="42" t="s">
        <v>127</v>
      </c>
      <c r="B83" s="43" t="s">
        <v>5</v>
      </c>
      <c r="C83" s="43" t="s">
        <v>6</v>
      </c>
      <c r="D83" s="43" t="s">
        <v>7</v>
      </c>
      <c r="E83" s="43" t="s">
        <v>8</v>
      </c>
      <c r="F83" s="43" t="s">
        <v>9</v>
      </c>
      <c r="G83" s="43" t="s">
        <v>10</v>
      </c>
      <c r="H83" s="44" t="s">
        <v>11</v>
      </c>
      <c r="K83" s="54"/>
    </row>
    <row r="84" spans="1:11" s="20" customFormat="1" x14ac:dyDescent="0.25">
      <c r="A84" s="42" t="s">
        <v>1</v>
      </c>
      <c r="B84" s="52">
        <f t="shared" ref="B84:H87" si="0">B8+B47</f>
        <v>56.910569105691053</v>
      </c>
      <c r="C84" s="52">
        <f t="shared" si="0"/>
        <v>46.122448979591837</v>
      </c>
      <c r="D84" s="52">
        <f t="shared" si="0"/>
        <v>55.590062111801245</v>
      </c>
      <c r="E84" s="52">
        <f t="shared" si="0"/>
        <v>56.521739130434781</v>
      </c>
      <c r="F84" s="52">
        <f t="shared" si="0"/>
        <v>64.50511945392492</v>
      </c>
      <c r="G84" s="52">
        <f t="shared" si="0"/>
        <v>76.99386503067484</v>
      </c>
      <c r="H84" s="53">
        <f t="shared" si="0"/>
        <v>90.46052631578948</v>
      </c>
    </row>
    <row r="85" spans="1:11" s="20" customFormat="1" x14ac:dyDescent="0.25">
      <c r="A85" s="42" t="s">
        <v>2</v>
      </c>
      <c r="B85" s="52">
        <f t="shared" si="0"/>
        <v>78.966666666666669</v>
      </c>
      <c r="C85" s="52">
        <f t="shared" si="0"/>
        <v>62.855326460481095</v>
      </c>
      <c r="D85" s="52">
        <f t="shared" si="0"/>
        <v>58.979264214046822</v>
      </c>
      <c r="E85" s="52">
        <f t="shared" si="0"/>
        <v>58.240435835351079</v>
      </c>
      <c r="F85" s="52">
        <f t="shared" si="0"/>
        <v>68.429411764705875</v>
      </c>
      <c r="G85" s="52">
        <f t="shared" si="0"/>
        <v>84.667796610169489</v>
      </c>
      <c r="H85" s="53">
        <f t="shared" si="0"/>
        <v>91.576744186046511</v>
      </c>
      <c r="I85" s="36"/>
    </row>
    <row r="86" spans="1:11" s="20" customFormat="1" x14ac:dyDescent="0.25">
      <c r="A86" s="42" t="s">
        <v>13</v>
      </c>
      <c r="B86" s="52">
        <f t="shared" si="0"/>
        <v>74.699999999999989</v>
      </c>
      <c r="C86" s="52">
        <f t="shared" si="0"/>
        <v>53.2</v>
      </c>
      <c r="D86" s="52">
        <f t="shared" si="0"/>
        <v>61.7</v>
      </c>
      <c r="E86" s="52">
        <f t="shared" si="0"/>
        <v>63.7</v>
      </c>
      <c r="F86" s="52">
        <f t="shared" si="0"/>
        <v>61.2</v>
      </c>
      <c r="G86" s="52">
        <f t="shared" si="0"/>
        <v>75.599999999999994</v>
      </c>
      <c r="H86" s="53">
        <f t="shared" si="0"/>
        <v>89.3</v>
      </c>
      <c r="I86" s="36"/>
    </row>
    <row r="87" spans="1:11" s="20" customFormat="1" x14ac:dyDescent="0.25">
      <c r="A87" s="46" t="s">
        <v>35</v>
      </c>
      <c r="B87" s="55">
        <f t="shared" si="0"/>
        <v>76.7</v>
      </c>
      <c r="C87" s="55">
        <f t="shared" si="0"/>
        <v>59.8</v>
      </c>
      <c r="D87" s="55">
        <f t="shared" si="0"/>
        <v>59</v>
      </c>
      <c r="E87" s="55">
        <f t="shared" si="0"/>
        <v>61.2</v>
      </c>
      <c r="F87" s="55">
        <f t="shared" si="0"/>
        <v>60</v>
      </c>
      <c r="G87" s="55">
        <f t="shared" si="0"/>
        <v>74.7</v>
      </c>
      <c r="H87" s="56">
        <f t="shared" si="0"/>
        <v>91.5</v>
      </c>
      <c r="I87" s="23"/>
    </row>
    <row r="88" spans="1:11" s="20" customFormat="1" x14ac:dyDescent="0.25">
      <c r="A88" s="41" t="s">
        <v>127</v>
      </c>
      <c r="B88" s="217" t="s">
        <v>94</v>
      </c>
      <c r="C88" s="217"/>
      <c r="D88" s="217"/>
      <c r="E88" s="217"/>
      <c r="F88" s="217"/>
      <c r="G88" s="217"/>
      <c r="H88" s="218"/>
      <c r="I88" s="48" t="s">
        <v>12</v>
      </c>
    </row>
    <row r="89" spans="1:11" s="20" customFormat="1" x14ac:dyDescent="0.25">
      <c r="A89" s="42" t="s">
        <v>1</v>
      </c>
      <c r="B89" s="49">
        <f t="shared" ref="B89:H92" si="1">B13+B52</f>
        <v>70</v>
      </c>
      <c r="C89" s="49">
        <f t="shared" si="1"/>
        <v>113</v>
      </c>
      <c r="D89" s="49">
        <f t="shared" si="1"/>
        <v>179</v>
      </c>
      <c r="E89" s="49">
        <f t="shared" si="1"/>
        <v>208</v>
      </c>
      <c r="F89" s="49">
        <f t="shared" si="1"/>
        <v>189</v>
      </c>
      <c r="G89" s="49">
        <f t="shared" si="1"/>
        <v>251</v>
      </c>
      <c r="H89" s="49">
        <f t="shared" si="1"/>
        <v>275</v>
      </c>
      <c r="I89" s="50">
        <f>SUM(B89:H89)</f>
        <v>1285</v>
      </c>
    </row>
    <row r="90" spans="1:11" s="20" customFormat="1" x14ac:dyDescent="0.25">
      <c r="A90" s="42" t="s">
        <v>2</v>
      </c>
      <c r="B90" s="49">
        <f t="shared" si="1"/>
        <v>94.76</v>
      </c>
      <c r="C90" s="49">
        <f t="shared" si="1"/>
        <v>182.90899999999999</v>
      </c>
      <c r="D90" s="49">
        <f t="shared" si="1"/>
        <v>176.34800000000001</v>
      </c>
      <c r="E90" s="49">
        <f t="shared" si="1"/>
        <v>240.53300000000002</v>
      </c>
      <c r="F90" s="49">
        <f t="shared" si="1"/>
        <v>232.66</v>
      </c>
      <c r="G90" s="49">
        <f t="shared" si="1"/>
        <v>249.76999999999998</v>
      </c>
      <c r="H90" s="49">
        <f t="shared" si="1"/>
        <v>315.024</v>
      </c>
      <c r="I90" s="50">
        <f>SUM(B90:H90)</f>
        <v>1492.0039999999999</v>
      </c>
    </row>
    <row r="91" spans="1:11" s="20" customFormat="1" x14ac:dyDescent="0.25">
      <c r="A91" s="42" t="s">
        <v>13</v>
      </c>
      <c r="B91" s="49">
        <f t="shared" si="1"/>
        <v>80</v>
      </c>
      <c r="C91" s="49">
        <f t="shared" si="1"/>
        <v>152</v>
      </c>
      <c r="D91" s="49">
        <f t="shared" si="1"/>
        <v>170</v>
      </c>
      <c r="E91" s="49">
        <f t="shared" si="1"/>
        <v>253</v>
      </c>
      <c r="F91" s="49">
        <f t="shared" si="1"/>
        <v>214</v>
      </c>
      <c r="G91" s="49">
        <f t="shared" si="1"/>
        <v>205</v>
      </c>
      <c r="H91" s="49">
        <f t="shared" si="1"/>
        <v>327</v>
      </c>
      <c r="I91" s="57">
        <f>I15+I54</f>
        <v>1401</v>
      </c>
    </row>
    <row r="92" spans="1:11" s="20" customFormat="1" x14ac:dyDescent="0.25">
      <c r="A92" s="46" t="s">
        <v>35</v>
      </c>
      <c r="B92" s="58">
        <f t="shared" si="1"/>
        <v>81</v>
      </c>
      <c r="C92" s="58">
        <f t="shared" si="1"/>
        <v>171</v>
      </c>
      <c r="D92" s="58">
        <f t="shared" si="1"/>
        <v>166</v>
      </c>
      <c r="E92" s="58">
        <f t="shared" si="1"/>
        <v>231</v>
      </c>
      <c r="F92" s="58">
        <f t="shared" si="1"/>
        <v>212</v>
      </c>
      <c r="G92" s="58">
        <f t="shared" si="1"/>
        <v>194</v>
      </c>
      <c r="H92" s="58">
        <f t="shared" si="1"/>
        <v>332</v>
      </c>
      <c r="I92" s="59">
        <f>I16+I55</f>
        <v>1387</v>
      </c>
    </row>
    <row r="93" spans="1:11" x14ac:dyDescent="0.25">
      <c r="B93" s="5"/>
      <c r="C93" s="5"/>
      <c r="D93" s="5"/>
      <c r="E93" s="5"/>
      <c r="F93" s="5"/>
      <c r="G93" s="5"/>
      <c r="H93" s="5"/>
      <c r="I93" s="6"/>
    </row>
    <row r="94" spans="1:11" ht="12.75" customHeight="1" x14ac:dyDescent="0.25">
      <c r="A94" s="4"/>
      <c r="B94" s="7"/>
      <c r="C94" s="224"/>
      <c r="D94" s="224"/>
      <c r="E94" s="7"/>
      <c r="F94" s="7"/>
      <c r="G94" s="7"/>
      <c r="H94" s="7"/>
      <c r="I94" s="7"/>
    </row>
    <row r="95" spans="1:11" x14ac:dyDescent="0.25">
      <c r="A95" s="4"/>
      <c r="B95" s="12"/>
      <c r="C95" s="224"/>
      <c r="D95" s="224"/>
      <c r="E95" s="7"/>
      <c r="F95" s="7"/>
      <c r="G95" s="7"/>
      <c r="H95" s="7"/>
      <c r="I95" s="7"/>
    </row>
    <row r="96" spans="1:11" x14ac:dyDescent="0.25">
      <c r="A96" s="4"/>
      <c r="B96" s="7"/>
      <c r="C96" s="9"/>
      <c r="D96" s="9"/>
      <c r="E96" s="7"/>
      <c r="F96" s="7"/>
      <c r="G96" s="7"/>
      <c r="H96" s="7"/>
      <c r="I96" s="7"/>
    </row>
    <row r="97" spans="1:9" x14ac:dyDescent="0.25">
      <c r="A97" s="4"/>
      <c r="B97" s="7"/>
      <c r="C97" s="9"/>
      <c r="D97" s="10"/>
      <c r="E97" s="7"/>
      <c r="F97" s="7"/>
      <c r="G97" s="7"/>
      <c r="H97" s="7"/>
      <c r="I97" s="7"/>
    </row>
    <row r="98" spans="1:9" x14ac:dyDescent="0.25">
      <c r="A98" s="4"/>
      <c r="B98" s="7"/>
      <c r="C98" s="11"/>
      <c r="D98" s="10"/>
      <c r="E98" s="7"/>
      <c r="F98" s="7"/>
      <c r="G98" s="7"/>
      <c r="H98" s="7"/>
      <c r="I98" s="7"/>
    </row>
    <row r="99" spans="1:9" x14ac:dyDescent="0.25">
      <c r="A99" s="4"/>
      <c r="B99" s="7"/>
      <c r="C99" s="7"/>
      <c r="D99" s="10"/>
      <c r="E99" s="7"/>
      <c r="F99" s="7"/>
      <c r="G99" s="7"/>
      <c r="H99" s="7"/>
      <c r="I99" s="7"/>
    </row>
    <row r="114" spans="1:11" s="20" customFormat="1" ht="17.399999999999999" x14ac:dyDescent="0.25">
      <c r="A114" s="219" t="s">
        <v>32</v>
      </c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</row>
    <row r="115" spans="1:11" s="20" customFormat="1" ht="15.6" x14ac:dyDescent="0.25">
      <c r="A115" s="220" t="s">
        <v>33</v>
      </c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</row>
    <row r="116" spans="1:11" s="20" customFormat="1" ht="15.6" x14ac:dyDescent="0.25">
      <c r="A116" s="220" t="s">
        <v>133</v>
      </c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</row>
    <row r="117" spans="1:11" s="20" customFormat="1" x14ac:dyDescent="0.25">
      <c r="A117" s="40"/>
    </row>
    <row r="118" spans="1:11" s="20" customFormat="1" x14ac:dyDescent="0.25">
      <c r="A118" s="40"/>
    </row>
    <row r="119" spans="1:11" s="20" customFormat="1" x14ac:dyDescent="0.25">
      <c r="A119" s="41"/>
      <c r="B119" s="215" t="s">
        <v>96</v>
      </c>
      <c r="C119" s="215"/>
      <c r="D119" s="215"/>
      <c r="E119" s="215"/>
      <c r="F119" s="215"/>
      <c r="G119" s="215"/>
      <c r="H119" s="216"/>
    </row>
    <row r="120" spans="1:11" s="20" customFormat="1" ht="26.4" x14ac:dyDescent="0.25">
      <c r="A120" s="42" t="s">
        <v>127</v>
      </c>
      <c r="B120" s="60" t="s">
        <v>5</v>
      </c>
      <c r="C120" s="60" t="s">
        <v>6</v>
      </c>
      <c r="D120" s="60" t="s">
        <v>7</v>
      </c>
      <c r="E120" s="60" t="s">
        <v>8</v>
      </c>
      <c r="F120" s="60" t="s">
        <v>9</v>
      </c>
      <c r="G120" s="60" t="s">
        <v>10</v>
      </c>
      <c r="H120" s="61" t="s">
        <v>11</v>
      </c>
    </row>
    <row r="121" spans="1:11" s="20" customFormat="1" x14ac:dyDescent="0.25">
      <c r="A121" s="42" t="s">
        <v>1</v>
      </c>
      <c r="B121" s="37">
        <v>43.089430894308947</v>
      </c>
      <c r="C121" s="37">
        <v>53.877551020408163</v>
      </c>
      <c r="D121" s="37">
        <v>44.409937888198755</v>
      </c>
      <c r="E121" s="37">
        <v>43.75</v>
      </c>
      <c r="F121" s="37">
        <v>35.836177474402731</v>
      </c>
      <c r="G121" s="37">
        <v>22.699386503067483</v>
      </c>
      <c r="H121" s="45">
        <v>9.2105263157894726</v>
      </c>
    </row>
    <row r="122" spans="1:11" s="20" customFormat="1" x14ac:dyDescent="0.25">
      <c r="A122" s="42" t="s">
        <v>2</v>
      </c>
      <c r="B122" s="37">
        <v>21.1</v>
      </c>
      <c r="C122" s="37">
        <v>37.1</v>
      </c>
      <c r="D122" s="37">
        <v>41.1</v>
      </c>
      <c r="E122" s="37">
        <v>41.6</v>
      </c>
      <c r="F122" s="37">
        <v>31.7</v>
      </c>
      <c r="G122" s="37">
        <v>15.2</v>
      </c>
      <c r="H122" s="45">
        <v>8.4</v>
      </c>
      <c r="I122" s="36"/>
    </row>
    <row r="123" spans="1:11" s="20" customFormat="1" x14ac:dyDescent="0.25">
      <c r="A123" s="42" t="s">
        <v>13</v>
      </c>
      <c r="B123" s="37">
        <v>21.4</v>
      </c>
      <c r="C123" s="37">
        <v>45.4</v>
      </c>
      <c r="D123" s="37">
        <v>37.299999999999997</v>
      </c>
      <c r="E123" s="37">
        <v>35.6</v>
      </c>
      <c r="F123" s="37">
        <v>37.299999999999997</v>
      </c>
      <c r="G123" s="37">
        <v>23.4</v>
      </c>
      <c r="H123" s="45">
        <v>8.4</v>
      </c>
      <c r="I123" s="36"/>
    </row>
    <row r="124" spans="1:11" s="20" customFormat="1" x14ac:dyDescent="0.25">
      <c r="A124" s="46" t="s">
        <v>35</v>
      </c>
      <c r="B124" s="24">
        <v>23.3</v>
      </c>
      <c r="C124" s="24">
        <v>40.299999999999997</v>
      </c>
      <c r="D124" s="24">
        <v>41.1</v>
      </c>
      <c r="E124" s="24">
        <v>38.799999999999997</v>
      </c>
      <c r="F124" s="24">
        <v>40</v>
      </c>
      <c r="G124" s="24">
        <v>25.3</v>
      </c>
      <c r="H124" s="47">
        <v>8.5</v>
      </c>
      <c r="I124" s="23"/>
    </row>
    <row r="125" spans="1:11" s="20" customFormat="1" x14ac:dyDescent="0.25">
      <c r="A125" s="41" t="s">
        <v>127</v>
      </c>
      <c r="B125" s="217" t="s">
        <v>97</v>
      </c>
      <c r="C125" s="217"/>
      <c r="D125" s="217"/>
      <c r="E125" s="217"/>
      <c r="F125" s="217"/>
      <c r="G125" s="217"/>
      <c r="H125" s="218"/>
      <c r="I125" s="48" t="s">
        <v>12</v>
      </c>
    </row>
    <row r="126" spans="1:11" s="20" customFormat="1" x14ac:dyDescent="0.25">
      <c r="A126" s="42" t="s">
        <v>1</v>
      </c>
      <c r="B126" s="49">
        <v>53</v>
      </c>
      <c r="C126" s="49">
        <v>132</v>
      </c>
      <c r="D126" s="49">
        <v>143</v>
      </c>
      <c r="E126" s="49">
        <v>161</v>
      </c>
      <c r="F126" s="49">
        <v>105</v>
      </c>
      <c r="G126" s="49">
        <v>74</v>
      </c>
      <c r="H126" s="49">
        <v>28</v>
      </c>
      <c r="I126" s="50">
        <f>SUM(B126:H126)</f>
        <v>696</v>
      </c>
    </row>
    <row r="127" spans="1:11" s="20" customFormat="1" x14ac:dyDescent="0.25">
      <c r="A127" s="42" t="s">
        <v>2</v>
      </c>
      <c r="B127" s="49">
        <v>25.32</v>
      </c>
      <c r="C127" s="49">
        <v>107.961</v>
      </c>
      <c r="D127" s="49">
        <v>122.889</v>
      </c>
      <c r="E127" s="49">
        <v>171.80799999999999</v>
      </c>
      <c r="F127" s="49">
        <v>107.78</v>
      </c>
      <c r="G127" s="49">
        <v>44.84</v>
      </c>
      <c r="H127" s="49">
        <v>28.896000000000001</v>
      </c>
      <c r="I127" s="50">
        <f>SUM(B127:H127)</f>
        <v>609.49400000000003</v>
      </c>
    </row>
    <row r="128" spans="1:11" s="20" customFormat="1" x14ac:dyDescent="0.25">
      <c r="A128" s="42" t="s">
        <v>13</v>
      </c>
      <c r="B128" s="36">
        <v>23</v>
      </c>
      <c r="C128" s="62">
        <v>129</v>
      </c>
      <c r="D128" s="36">
        <v>103</v>
      </c>
      <c r="E128" s="36">
        <v>141</v>
      </c>
      <c r="F128" s="36">
        <v>130</v>
      </c>
      <c r="G128" s="36">
        <v>64</v>
      </c>
      <c r="H128" s="36">
        <v>31</v>
      </c>
      <c r="I128" s="50">
        <f>SUM(B128:H128)</f>
        <v>621</v>
      </c>
    </row>
    <row r="129" spans="1:9" s="20" customFormat="1" x14ac:dyDescent="0.25">
      <c r="A129" s="46" t="s">
        <v>35</v>
      </c>
      <c r="B129" s="23">
        <v>25</v>
      </c>
      <c r="C129" s="63">
        <v>116</v>
      </c>
      <c r="D129" s="23">
        <v>116</v>
      </c>
      <c r="E129" s="23">
        <v>146</v>
      </c>
      <c r="F129" s="23">
        <v>141</v>
      </c>
      <c r="G129" s="23">
        <v>66</v>
      </c>
      <c r="H129" s="23">
        <v>31</v>
      </c>
      <c r="I129" s="51">
        <f>SUM(B129:H129)</f>
        <v>641</v>
      </c>
    </row>
    <row r="130" spans="1:9" x14ac:dyDescent="0.25">
      <c r="C130" s="13"/>
      <c r="I130" s="6"/>
    </row>
    <row r="131" spans="1:9" x14ac:dyDescent="0.25">
      <c r="C131" s="13"/>
      <c r="I131" s="6"/>
    </row>
    <row r="132" spans="1:9" x14ac:dyDescent="0.25">
      <c r="C132" s="13"/>
      <c r="I132" s="6"/>
    </row>
    <row r="133" spans="1:9" x14ac:dyDescent="0.25">
      <c r="C133" s="6"/>
    </row>
    <row r="152" spans="1:9" s="20" customFormat="1" ht="27.75" customHeight="1" x14ac:dyDescent="0.25">
      <c r="A152" s="19" t="s">
        <v>107</v>
      </c>
    </row>
    <row r="153" spans="1:9" s="20" customFormat="1" x14ac:dyDescent="0.25">
      <c r="A153" s="41"/>
      <c r="B153" s="215" t="s">
        <v>0</v>
      </c>
      <c r="C153" s="215"/>
      <c r="D153" s="215"/>
      <c r="E153" s="215"/>
      <c r="F153" s="215"/>
      <c r="G153" s="215"/>
      <c r="H153" s="215"/>
      <c r="I153" s="64"/>
    </row>
    <row r="154" spans="1:9" s="20" customFormat="1" ht="26.4" x14ac:dyDescent="0.25">
      <c r="A154" s="42" t="s">
        <v>127</v>
      </c>
      <c r="B154" s="60" t="s">
        <v>27</v>
      </c>
      <c r="C154" s="60" t="s">
        <v>5</v>
      </c>
      <c r="D154" s="60" t="s">
        <v>6</v>
      </c>
      <c r="E154" s="60" t="s">
        <v>7</v>
      </c>
      <c r="F154" s="60" t="s">
        <v>8</v>
      </c>
      <c r="G154" s="60" t="s">
        <v>9</v>
      </c>
      <c r="H154" s="60" t="s">
        <v>10</v>
      </c>
      <c r="I154" s="61" t="s">
        <v>11</v>
      </c>
    </row>
    <row r="155" spans="1:9" s="20" customFormat="1" x14ac:dyDescent="0.25">
      <c r="A155" s="42" t="s">
        <v>1</v>
      </c>
      <c r="B155" s="37">
        <v>38.700000000000003</v>
      </c>
      <c r="C155" s="37">
        <v>49.59349593495935</v>
      </c>
      <c r="D155" s="37">
        <v>31.836734693877549</v>
      </c>
      <c r="E155" s="37">
        <v>38.509316770186338</v>
      </c>
      <c r="F155" s="37">
        <v>32.880434782608695</v>
      </c>
      <c r="G155" s="37">
        <v>33.788395904436861</v>
      </c>
      <c r="H155" s="37">
        <v>38.650306748466257</v>
      </c>
      <c r="I155" s="45">
        <v>51.973684210526315</v>
      </c>
    </row>
    <row r="156" spans="1:9" s="20" customFormat="1" x14ac:dyDescent="0.25">
      <c r="A156" s="42" t="s">
        <v>2</v>
      </c>
      <c r="B156" s="37">
        <v>42.5</v>
      </c>
      <c r="C156" s="37">
        <v>71.666666666666671</v>
      </c>
      <c r="D156" s="37">
        <v>42.955326460481096</v>
      </c>
      <c r="E156" s="37">
        <v>33.779264214046819</v>
      </c>
      <c r="F156" s="37">
        <v>34.382566585956411</v>
      </c>
      <c r="G156" s="37">
        <v>33.529411764705877</v>
      </c>
      <c r="H156" s="37">
        <v>44.067796610169488</v>
      </c>
      <c r="I156" s="45">
        <v>56.97674418604651</v>
      </c>
    </row>
    <row r="157" spans="1:9" s="20" customFormat="1" x14ac:dyDescent="0.25">
      <c r="A157" s="42" t="s">
        <v>13</v>
      </c>
      <c r="B157" s="37">
        <v>45.1</v>
      </c>
      <c r="C157" s="37">
        <v>73.099999999999994</v>
      </c>
      <c r="D157" s="37">
        <v>43.5</v>
      </c>
      <c r="E157" s="37">
        <v>39.1</v>
      </c>
      <c r="F157" s="37">
        <v>42.1</v>
      </c>
      <c r="G157" s="37">
        <v>34.9</v>
      </c>
      <c r="H157" s="37">
        <v>38.299999999999997</v>
      </c>
      <c r="I157" s="45">
        <v>60.8</v>
      </c>
    </row>
    <row r="158" spans="1:9" s="20" customFormat="1" x14ac:dyDescent="0.25">
      <c r="A158" s="46" t="s">
        <v>35</v>
      </c>
      <c r="B158" s="24">
        <v>43.3</v>
      </c>
      <c r="C158" s="24">
        <v>74.900000000000006</v>
      </c>
      <c r="D158" s="24">
        <v>50.3</v>
      </c>
      <c r="E158" s="24">
        <v>36.9</v>
      </c>
      <c r="F158" s="24">
        <v>37.1</v>
      </c>
      <c r="G158" s="24">
        <v>37.299999999999997</v>
      </c>
      <c r="H158" s="24">
        <v>36.5</v>
      </c>
      <c r="I158" s="47">
        <v>50.7</v>
      </c>
    </row>
    <row r="159" spans="1:9" s="20" customFormat="1" x14ac:dyDescent="0.25">
      <c r="A159" s="65" t="s">
        <v>0</v>
      </c>
      <c r="B159" s="66">
        <f>B158-B155</f>
        <v>4.5999999999999943</v>
      </c>
      <c r="C159" s="66">
        <f t="shared" ref="C159:I159" si="2">C158-C155</f>
        <v>25.306504065040656</v>
      </c>
      <c r="D159" s="66">
        <f t="shared" si="2"/>
        <v>18.463265306122448</v>
      </c>
      <c r="E159" s="66">
        <f t="shared" si="2"/>
        <v>-1.6093167701863393</v>
      </c>
      <c r="F159" s="66">
        <f t="shared" si="2"/>
        <v>4.2195652173913061</v>
      </c>
      <c r="G159" s="66">
        <f t="shared" si="2"/>
        <v>3.5116040955631362</v>
      </c>
      <c r="H159" s="66">
        <f t="shared" si="2"/>
        <v>-2.1503067484662566</v>
      </c>
      <c r="I159" s="67">
        <f t="shared" si="2"/>
        <v>-1.2736842105263122</v>
      </c>
    </row>
    <row r="160" spans="1:9" s="20" customFormat="1" x14ac:dyDescent="0.25"/>
    <row r="161" spans="1:11" s="20" customFormat="1" x14ac:dyDescent="0.25">
      <c r="A161" s="41"/>
      <c r="B161" s="215" t="s">
        <v>3</v>
      </c>
      <c r="C161" s="215"/>
      <c r="D161" s="215"/>
      <c r="E161" s="215"/>
      <c r="F161" s="215"/>
      <c r="G161" s="215"/>
      <c r="H161" s="215"/>
      <c r="I161" s="216"/>
    </row>
    <row r="162" spans="1:11" s="20" customFormat="1" ht="26.4" x14ac:dyDescent="0.25">
      <c r="A162" s="42" t="s">
        <v>127</v>
      </c>
      <c r="B162" s="60" t="s">
        <v>27</v>
      </c>
      <c r="C162" s="60" t="s">
        <v>5</v>
      </c>
      <c r="D162" s="60" t="s">
        <v>6</v>
      </c>
      <c r="E162" s="60" t="s">
        <v>7</v>
      </c>
      <c r="F162" s="60" t="s">
        <v>8</v>
      </c>
      <c r="G162" s="60" t="s">
        <v>9</v>
      </c>
      <c r="H162" s="60" t="s">
        <v>10</v>
      </c>
      <c r="I162" s="61" t="s">
        <v>11</v>
      </c>
    </row>
    <row r="163" spans="1:11" s="20" customFormat="1" x14ac:dyDescent="0.25">
      <c r="A163" s="42" t="s">
        <v>1</v>
      </c>
      <c r="B163" s="37">
        <v>26.1</v>
      </c>
      <c r="C163" s="52">
        <v>7.3170731707317067</v>
      </c>
      <c r="D163" s="52">
        <v>14.285714285714285</v>
      </c>
      <c r="E163" s="52">
        <v>17.080745341614907</v>
      </c>
      <c r="F163" s="52">
        <v>23.641304347826086</v>
      </c>
      <c r="G163" s="52">
        <v>30.716723549488055</v>
      </c>
      <c r="H163" s="52">
        <v>38.343558282208591</v>
      </c>
      <c r="I163" s="53">
        <v>38.486842105263158</v>
      </c>
    </row>
    <row r="164" spans="1:11" s="20" customFormat="1" x14ac:dyDescent="0.25">
      <c r="A164" s="42" t="s">
        <v>2</v>
      </c>
      <c r="B164" s="37">
        <v>28.5</v>
      </c>
      <c r="C164" s="37">
        <v>7.3</v>
      </c>
      <c r="D164" s="37">
        <v>19.899999999999999</v>
      </c>
      <c r="E164" s="37">
        <v>25.2</v>
      </c>
      <c r="F164" s="37">
        <v>23.857869249394671</v>
      </c>
      <c r="G164" s="37">
        <v>34.9</v>
      </c>
      <c r="H164" s="37">
        <v>40.6</v>
      </c>
      <c r="I164" s="45">
        <v>34.6</v>
      </c>
    </row>
    <row r="165" spans="1:11" s="20" customFormat="1" x14ac:dyDescent="0.25">
      <c r="A165" s="42" t="s">
        <v>13</v>
      </c>
      <c r="B165" s="37">
        <v>23.2</v>
      </c>
      <c r="C165" s="37">
        <v>1.6</v>
      </c>
      <c r="D165" s="37">
        <v>9.6999999999999993</v>
      </c>
      <c r="E165" s="37">
        <v>22.6</v>
      </c>
      <c r="F165" s="37">
        <v>21.6</v>
      </c>
      <c r="G165" s="37">
        <v>26.3</v>
      </c>
      <c r="H165" s="37">
        <v>37.299999999999997</v>
      </c>
      <c r="I165" s="45">
        <v>28.5</v>
      </c>
      <c r="J165" s="36"/>
      <c r="K165" s="36"/>
    </row>
    <row r="166" spans="1:11" s="20" customFormat="1" x14ac:dyDescent="0.25">
      <c r="A166" s="46" t="s">
        <v>35</v>
      </c>
      <c r="B166" s="24">
        <v>25.1</v>
      </c>
      <c r="C166" s="24">
        <v>1.8</v>
      </c>
      <c r="D166" s="24">
        <v>9.5</v>
      </c>
      <c r="E166" s="24">
        <v>22.1</v>
      </c>
      <c r="F166" s="24">
        <v>24.1</v>
      </c>
      <c r="G166" s="24">
        <v>22.7</v>
      </c>
      <c r="H166" s="24">
        <v>38.200000000000003</v>
      </c>
      <c r="I166" s="47">
        <v>40.799999999999997</v>
      </c>
    </row>
    <row r="167" spans="1:11" s="20" customFormat="1" x14ac:dyDescent="0.25">
      <c r="A167" s="65" t="s">
        <v>3</v>
      </c>
      <c r="B167" s="66">
        <f>B166-B163</f>
        <v>-1</v>
      </c>
      <c r="C167" s="66">
        <f t="shared" ref="C167:I167" si="3">C166-C163</f>
        <v>-5.5170731707317069</v>
      </c>
      <c r="D167" s="66">
        <f t="shared" si="3"/>
        <v>-4.7857142857142847</v>
      </c>
      <c r="E167" s="66">
        <f t="shared" si="3"/>
        <v>5.0192546583850941</v>
      </c>
      <c r="F167" s="66">
        <f t="shared" si="3"/>
        <v>0.45869565217391539</v>
      </c>
      <c r="G167" s="66">
        <f t="shared" si="3"/>
        <v>-8.0167235494880558</v>
      </c>
      <c r="H167" s="66">
        <f t="shared" si="3"/>
        <v>-0.14355828220858768</v>
      </c>
      <c r="I167" s="67">
        <f t="shared" si="3"/>
        <v>2.3131578947368396</v>
      </c>
    </row>
    <row r="168" spans="1:11" s="20" customFormat="1" x14ac:dyDescent="0.25"/>
    <row r="169" spans="1:11" s="20" customFormat="1" x14ac:dyDescent="0.25">
      <c r="A169" s="41"/>
      <c r="B169" s="215" t="s">
        <v>4</v>
      </c>
      <c r="C169" s="215"/>
      <c r="D169" s="215"/>
      <c r="E169" s="215"/>
      <c r="F169" s="215"/>
      <c r="G169" s="215"/>
      <c r="H169" s="215"/>
      <c r="I169" s="216"/>
    </row>
    <row r="170" spans="1:11" s="20" customFormat="1" ht="26.4" x14ac:dyDescent="0.25">
      <c r="A170" s="42" t="s">
        <v>127</v>
      </c>
      <c r="B170" s="60" t="s">
        <v>27</v>
      </c>
      <c r="C170" s="60" t="s">
        <v>5</v>
      </c>
      <c r="D170" s="60" t="s">
        <v>6</v>
      </c>
      <c r="E170" s="60" t="s">
        <v>7</v>
      </c>
      <c r="F170" s="60" t="s">
        <v>8</v>
      </c>
      <c r="G170" s="60" t="s">
        <v>9</v>
      </c>
      <c r="H170" s="60" t="s">
        <v>10</v>
      </c>
      <c r="I170" s="61" t="s">
        <v>11</v>
      </c>
    </row>
    <row r="171" spans="1:11" s="20" customFormat="1" x14ac:dyDescent="0.25">
      <c r="A171" s="42" t="s">
        <v>1</v>
      </c>
      <c r="B171" s="37">
        <v>35.1</v>
      </c>
      <c r="C171" s="37">
        <v>43.089430894308947</v>
      </c>
      <c r="D171" s="37">
        <v>53.877551020408163</v>
      </c>
      <c r="E171" s="37">
        <v>44.409937888198755</v>
      </c>
      <c r="F171" s="37">
        <v>43.75</v>
      </c>
      <c r="G171" s="37">
        <v>35.836177474402731</v>
      </c>
      <c r="H171" s="37">
        <v>22.699386503067483</v>
      </c>
      <c r="I171" s="45">
        <v>9.2105263157894726</v>
      </c>
    </row>
    <row r="172" spans="1:11" s="20" customFormat="1" x14ac:dyDescent="0.25">
      <c r="A172" s="42" t="s">
        <v>2</v>
      </c>
      <c r="B172" s="37">
        <v>29</v>
      </c>
      <c r="C172" s="37">
        <v>21.1</v>
      </c>
      <c r="D172" s="37">
        <v>37.1</v>
      </c>
      <c r="E172" s="37">
        <v>41.1</v>
      </c>
      <c r="F172" s="37">
        <v>41.6</v>
      </c>
      <c r="G172" s="37">
        <v>31.7</v>
      </c>
      <c r="H172" s="37">
        <v>15.2</v>
      </c>
      <c r="I172" s="45">
        <v>8.4</v>
      </c>
    </row>
    <row r="173" spans="1:11" s="20" customFormat="1" x14ac:dyDescent="0.25">
      <c r="A173" s="42" t="s">
        <v>13</v>
      </c>
      <c r="B173" s="37">
        <v>31.7</v>
      </c>
      <c r="C173" s="37">
        <v>21.4</v>
      </c>
      <c r="D173" s="37">
        <v>45.4</v>
      </c>
      <c r="E173" s="37">
        <v>37.299999999999997</v>
      </c>
      <c r="F173" s="37">
        <v>35.6</v>
      </c>
      <c r="G173" s="37">
        <v>37.299999999999997</v>
      </c>
      <c r="H173" s="37">
        <v>23.4</v>
      </c>
      <c r="I173" s="45">
        <v>8.4</v>
      </c>
    </row>
    <row r="174" spans="1:11" s="20" customFormat="1" x14ac:dyDescent="0.25">
      <c r="A174" s="46" t="s">
        <v>35</v>
      </c>
      <c r="B174" s="23">
        <v>31.6</v>
      </c>
      <c r="C174" s="24">
        <v>23.3</v>
      </c>
      <c r="D174" s="24">
        <v>40.299999999999997</v>
      </c>
      <c r="E174" s="24">
        <v>41.1</v>
      </c>
      <c r="F174" s="24">
        <v>38.799999999999997</v>
      </c>
      <c r="G174" s="24">
        <v>40</v>
      </c>
      <c r="H174" s="24">
        <v>25.3</v>
      </c>
      <c r="I174" s="47">
        <v>8.5</v>
      </c>
    </row>
    <row r="175" spans="1:11" s="20" customFormat="1" x14ac:dyDescent="0.25">
      <c r="A175" s="65" t="s">
        <v>4</v>
      </c>
      <c r="B175" s="66">
        <f>B174-B171</f>
        <v>-3.5</v>
      </c>
      <c r="C175" s="66">
        <f t="shared" ref="C175:I175" si="4">C174-C171</f>
        <v>-19.789430894308946</v>
      </c>
      <c r="D175" s="66">
        <f t="shared" si="4"/>
        <v>-13.577551020408166</v>
      </c>
      <c r="E175" s="66">
        <f t="shared" si="4"/>
        <v>-3.3099378881987533</v>
      </c>
      <c r="F175" s="66">
        <f t="shared" si="4"/>
        <v>-4.9500000000000028</v>
      </c>
      <c r="G175" s="66">
        <f t="shared" si="4"/>
        <v>4.1638225255972685</v>
      </c>
      <c r="H175" s="66">
        <f t="shared" si="4"/>
        <v>2.6006134969325174</v>
      </c>
      <c r="I175" s="67">
        <f t="shared" si="4"/>
        <v>-0.71052631578947256</v>
      </c>
    </row>
    <row r="176" spans="1:11" s="20" customFormat="1" x14ac:dyDescent="0.25"/>
    <row r="177" spans="1:9" s="20" customFormat="1" x14ac:dyDescent="0.25">
      <c r="A177" s="221" t="s">
        <v>36</v>
      </c>
      <c r="B177" s="222"/>
      <c r="C177" s="222"/>
      <c r="D177" s="222"/>
      <c r="E177" s="222"/>
      <c r="F177" s="222"/>
      <c r="G177" s="222"/>
      <c r="H177" s="222"/>
      <c r="I177" s="223"/>
    </row>
    <row r="178" spans="1:9" s="20" customFormat="1" ht="26.4" x14ac:dyDescent="0.25">
      <c r="A178" s="68"/>
      <c r="B178" s="160" t="s">
        <v>5</v>
      </c>
      <c r="C178" s="69" t="s">
        <v>6</v>
      </c>
      <c r="D178" s="69" t="s">
        <v>7</v>
      </c>
      <c r="E178" s="69" t="s">
        <v>8</v>
      </c>
      <c r="F178" s="69" t="s">
        <v>9</v>
      </c>
      <c r="G178" s="69" t="s">
        <v>10</v>
      </c>
      <c r="H178" s="69" t="s">
        <v>11</v>
      </c>
      <c r="I178" s="70" t="s">
        <v>27</v>
      </c>
    </row>
    <row r="179" spans="1:9" s="20" customFormat="1" x14ac:dyDescent="0.25">
      <c r="A179" s="71" t="s">
        <v>0</v>
      </c>
      <c r="B179" s="161">
        <v>25.306504065040656</v>
      </c>
      <c r="C179" s="72">
        <v>18.463265306122448</v>
      </c>
      <c r="D179" s="72">
        <v>-1.6093167701863393</v>
      </c>
      <c r="E179" s="72">
        <v>4.2195652173913061</v>
      </c>
      <c r="F179" s="72">
        <v>3.5116040955631362</v>
      </c>
      <c r="G179" s="72">
        <v>-2.1503067484662566</v>
      </c>
      <c r="H179" s="72">
        <v>-1.2736842105263122</v>
      </c>
      <c r="I179" s="45">
        <v>4.5999999999999943</v>
      </c>
    </row>
    <row r="180" spans="1:9" s="20" customFormat="1" x14ac:dyDescent="0.25">
      <c r="A180" s="71" t="s">
        <v>3</v>
      </c>
      <c r="B180" s="161">
        <v>-5.5170731707317069</v>
      </c>
      <c r="C180" s="72">
        <v>-4.7857142857142847</v>
      </c>
      <c r="D180" s="72">
        <v>5.0192546583850941</v>
      </c>
      <c r="E180" s="72">
        <v>0.45869565217391539</v>
      </c>
      <c r="F180" s="72">
        <v>-8.0167235494880558</v>
      </c>
      <c r="G180" s="72">
        <v>-0.14355828220858768</v>
      </c>
      <c r="H180" s="72">
        <v>2.3131578947368396</v>
      </c>
      <c r="I180" s="45">
        <v>-1</v>
      </c>
    </row>
    <row r="181" spans="1:9" s="20" customFormat="1" x14ac:dyDescent="0.25">
      <c r="A181" s="73" t="s">
        <v>4</v>
      </c>
      <c r="B181" s="162">
        <v>-19.789430894308946</v>
      </c>
      <c r="C181" s="74">
        <v>-13.577551020408166</v>
      </c>
      <c r="D181" s="74">
        <v>-3.3099378881987533</v>
      </c>
      <c r="E181" s="74">
        <v>-4.95</v>
      </c>
      <c r="F181" s="74">
        <v>4.1638225255972685</v>
      </c>
      <c r="G181" s="74">
        <v>2.6006134969325174</v>
      </c>
      <c r="H181" s="74">
        <v>-0.71052631578947256</v>
      </c>
      <c r="I181" s="47">
        <v>-3.5</v>
      </c>
    </row>
    <row r="182" spans="1:9" x14ac:dyDescent="0.25">
      <c r="A182"/>
    </row>
    <row r="211" spans="1:8" x14ac:dyDescent="0.25">
      <c r="A211" s="213" t="s">
        <v>90</v>
      </c>
      <c r="B211" s="213"/>
      <c r="C211" s="213"/>
      <c r="D211" s="194"/>
      <c r="E211" s="194"/>
      <c r="F211" s="194"/>
      <c r="G211" s="194"/>
      <c r="H211" s="194"/>
    </row>
    <row r="212" spans="1:8" ht="26.4" x14ac:dyDescent="0.25">
      <c r="A212" s="193" t="s">
        <v>127</v>
      </c>
      <c r="B212" s="2" t="s">
        <v>5</v>
      </c>
      <c r="C212" s="2" t="s">
        <v>6</v>
      </c>
      <c r="D212" s="2"/>
      <c r="E212" s="2"/>
      <c r="F212" s="2"/>
      <c r="G212" s="2"/>
      <c r="H212" s="2"/>
    </row>
    <row r="213" spans="1:8" x14ac:dyDescent="0.25">
      <c r="A213" s="1" t="s">
        <v>1</v>
      </c>
      <c r="B213" s="3">
        <v>49.59349593495935</v>
      </c>
      <c r="C213" s="3">
        <v>31.836734693877549</v>
      </c>
    </row>
    <row r="214" spans="1:8" x14ac:dyDescent="0.25">
      <c r="A214" s="1" t="s">
        <v>2</v>
      </c>
      <c r="B214" s="3">
        <v>71.666666666666671</v>
      </c>
      <c r="C214" s="3">
        <v>42.955326460481096</v>
      </c>
    </row>
    <row r="215" spans="1:8" x14ac:dyDescent="0.25">
      <c r="A215" s="1" t="s">
        <v>13</v>
      </c>
      <c r="B215" s="3">
        <v>73.099999999999994</v>
      </c>
      <c r="C215" s="3">
        <v>43.5</v>
      </c>
    </row>
    <row r="216" spans="1:8" x14ac:dyDescent="0.25">
      <c r="A216" s="1" t="s">
        <v>35</v>
      </c>
      <c r="B216" s="3">
        <v>74.900000000000006</v>
      </c>
      <c r="C216" s="3">
        <v>50.3</v>
      </c>
    </row>
  </sheetData>
  <mergeCells count="26">
    <mergeCell ref="A211:C211"/>
    <mergeCell ref="A177:I177"/>
    <mergeCell ref="B51:H51"/>
    <mergeCell ref="B12:H12"/>
    <mergeCell ref="B45:H45"/>
    <mergeCell ref="A40:K40"/>
    <mergeCell ref="A41:K41"/>
    <mergeCell ref="A42:K42"/>
    <mergeCell ref="C94:D95"/>
    <mergeCell ref="B119:H119"/>
    <mergeCell ref="A1:K1"/>
    <mergeCell ref="A2:K2"/>
    <mergeCell ref="A3:K3"/>
    <mergeCell ref="B6:H6"/>
    <mergeCell ref="A115:K115"/>
    <mergeCell ref="A116:K116"/>
    <mergeCell ref="B169:I169"/>
    <mergeCell ref="B161:I161"/>
    <mergeCell ref="B153:H153"/>
    <mergeCell ref="B125:H125"/>
    <mergeCell ref="A77:K77"/>
    <mergeCell ref="A78:K78"/>
    <mergeCell ref="A79:K79"/>
    <mergeCell ref="A114:K114"/>
    <mergeCell ref="B82:H82"/>
    <mergeCell ref="B88:H88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6" manualBreakCount="6">
    <brk id="39" max="16383" man="1"/>
    <brk id="76" max="16383" man="1"/>
    <brk id="113" max="16383" man="1"/>
    <brk id="150" max="16383" man="1"/>
    <brk id="182" max="16383" man="1"/>
    <brk id="20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86" workbookViewId="0">
      <selection activeCell="E25" sqref="E25"/>
    </sheetView>
  </sheetViews>
  <sheetFormatPr baseColWidth="10" defaultRowHeight="13.2" x14ac:dyDescent="0.25"/>
  <cols>
    <col min="1" max="1" width="57.88671875" customWidth="1"/>
    <col min="5" max="5" width="57.44140625" bestFit="1" customWidth="1"/>
  </cols>
  <sheetData>
    <row r="1" spans="1:11" s="20" customFormat="1" ht="61.5" customHeight="1" x14ac:dyDescent="0.25">
      <c r="A1" s="229" t="s">
        <v>132</v>
      </c>
      <c r="B1" s="229"/>
      <c r="C1" s="229"/>
      <c r="D1" s="19"/>
      <c r="E1" s="19"/>
      <c r="F1" s="19"/>
      <c r="G1" s="19"/>
      <c r="H1" s="19"/>
      <c r="I1" s="19"/>
      <c r="J1" s="19"/>
      <c r="K1" s="19"/>
    </row>
    <row r="2" spans="1:11" s="20" customFormat="1" ht="13.8" thickBot="1" x14ac:dyDescent="0.3"/>
    <row r="3" spans="1:11" s="27" customFormat="1" ht="54.75" customHeight="1" thickBot="1" x14ac:dyDescent="0.3">
      <c r="A3" s="226" t="s">
        <v>48</v>
      </c>
      <c r="B3" s="227"/>
      <c r="C3" s="228"/>
      <c r="D3" s="38"/>
      <c r="E3" s="38"/>
      <c r="F3" s="38"/>
      <c r="G3" s="38"/>
      <c r="H3" s="38"/>
      <c r="I3" s="38"/>
      <c r="J3" s="38"/>
      <c r="K3" s="38"/>
    </row>
    <row r="4" spans="1:11" s="28" customFormat="1" x14ac:dyDescent="0.25">
      <c r="A4" s="16"/>
      <c r="B4" s="16"/>
    </row>
    <row r="5" spans="1:11" s="28" customFormat="1" ht="14.1" customHeight="1" x14ac:dyDescent="0.25">
      <c r="A5" s="105"/>
      <c r="B5" s="225" t="s">
        <v>76</v>
      </c>
      <c r="C5" s="225"/>
    </row>
    <row r="6" spans="1:11" s="20" customFormat="1" ht="14.1" customHeight="1" x14ac:dyDescent="0.25">
      <c r="A6" s="119" t="s">
        <v>88</v>
      </c>
      <c r="B6" s="17" t="s">
        <v>75</v>
      </c>
      <c r="C6" s="17" t="s">
        <v>26</v>
      </c>
    </row>
    <row r="7" spans="1:11" s="20" customFormat="1" ht="14.1" customHeight="1" x14ac:dyDescent="0.25">
      <c r="A7" s="44" t="s">
        <v>38</v>
      </c>
      <c r="B7" s="20">
        <v>116</v>
      </c>
      <c r="C7" s="22">
        <v>72.8</v>
      </c>
    </row>
    <row r="8" spans="1:11" s="20" customFormat="1" ht="14.1" customHeight="1" x14ac:dyDescent="0.25">
      <c r="A8" s="44" t="s">
        <v>113</v>
      </c>
      <c r="B8" s="20">
        <v>64</v>
      </c>
      <c r="C8" s="22">
        <v>40</v>
      </c>
    </row>
    <row r="9" spans="1:11" s="20" customFormat="1" ht="14.1" customHeight="1" x14ac:dyDescent="0.25">
      <c r="A9" s="44" t="s">
        <v>40</v>
      </c>
      <c r="B9" s="20">
        <v>60</v>
      </c>
      <c r="C9" s="22">
        <v>37.799999999999997</v>
      </c>
    </row>
    <row r="10" spans="1:11" s="20" customFormat="1" ht="14.1" customHeight="1" x14ac:dyDescent="0.25">
      <c r="A10" s="44" t="s">
        <v>41</v>
      </c>
      <c r="B10" s="20">
        <v>41</v>
      </c>
      <c r="C10" s="22">
        <v>25.6</v>
      </c>
    </row>
    <row r="11" spans="1:11" s="20" customFormat="1" ht="14.1" customHeight="1" x14ac:dyDescent="0.25">
      <c r="A11" s="44" t="s">
        <v>37</v>
      </c>
      <c r="B11" s="20">
        <v>37</v>
      </c>
      <c r="C11" s="22">
        <v>23.2</v>
      </c>
    </row>
    <row r="12" spans="1:11" s="20" customFormat="1" ht="14.1" customHeight="1" x14ac:dyDescent="0.25">
      <c r="A12" s="44" t="s">
        <v>39</v>
      </c>
      <c r="B12" s="20">
        <v>36</v>
      </c>
      <c r="C12" s="22">
        <v>22.6</v>
      </c>
    </row>
    <row r="13" spans="1:11" s="20" customFormat="1" ht="14.1" customHeight="1" x14ac:dyDescent="0.25">
      <c r="A13" s="44" t="s">
        <v>45</v>
      </c>
      <c r="B13" s="20">
        <v>26</v>
      </c>
      <c r="C13" s="22">
        <v>16.5</v>
      </c>
    </row>
    <row r="14" spans="1:11" s="20" customFormat="1" ht="14.1" customHeight="1" x14ac:dyDescent="0.25">
      <c r="A14" s="44" t="s">
        <v>43</v>
      </c>
      <c r="B14" s="20">
        <v>24</v>
      </c>
      <c r="C14" s="22">
        <v>15.4</v>
      </c>
    </row>
    <row r="15" spans="1:11" s="20" customFormat="1" ht="14.1" customHeight="1" x14ac:dyDescent="0.25">
      <c r="A15" s="44" t="s">
        <v>44</v>
      </c>
      <c r="B15" s="20">
        <v>22</v>
      </c>
      <c r="C15" s="22">
        <v>13.8</v>
      </c>
    </row>
    <row r="16" spans="1:11" s="20" customFormat="1" ht="14.1" customHeight="1" x14ac:dyDescent="0.25">
      <c r="A16" s="44" t="s">
        <v>42</v>
      </c>
      <c r="B16" s="20">
        <v>21</v>
      </c>
      <c r="C16" s="22">
        <v>13.2</v>
      </c>
    </row>
    <row r="17" spans="1:11" s="20" customFormat="1" ht="28.5" customHeight="1" x14ac:dyDescent="0.25">
      <c r="A17" s="44" t="s">
        <v>80</v>
      </c>
      <c r="B17" s="20">
        <v>21</v>
      </c>
      <c r="C17" s="22">
        <v>13.1</v>
      </c>
    </row>
    <row r="18" spans="1:11" s="20" customFormat="1" ht="14.1" customHeight="1" x14ac:dyDescent="0.25">
      <c r="A18" s="44" t="s">
        <v>111</v>
      </c>
      <c r="B18" s="20">
        <v>17</v>
      </c>
      <c r="C18" s="22">
        <v>10.4</v>
      </c>
    </row>
    <row r="19" spans="1:11" s="20" customFormat="1" ht="14.1" customHeight="1" x14ac:dyDescent="0.25">
      <c r="A19" s="106" t="s">
        <v>46</v>
      </c>
      <c r="B19" s="23">
        <v>10</v>
      </c>
      <c r="C19" s="24">
        <v>6</v>
      </c>
    </row>
    <row r="20" spans="1:11" s="20" customFormat="1" ht="14.1" customHeight="1" x14ac:dyDescent="0.25">
      <c r="A20" s="107" t="s">
        <v>89</v>
      </c>
      <c r="B20" s="20">
        <f>SUM(B7:B19)</f>
        <v>495</v>
      </c>
    </row>
    <row r="21" spans="1:11" s="20" customFormat="1" x14ac:dyDescent="0.25"/>
    <row r="22" spans="1:11" s="20" customFormat="1" ht="61.5" customHeight="1" x14ac:dyDescent="0.25">
      <c r="A22" s="229" t="s">
        <v>132</v>
      </c>
      <c r="B22" s="229"/>
      <c r="C22" s="229"/>
      <c r="D22" s="19"/>
      <c r="E22" s="19"/>
      <c r="F22" s="19"/>
      <c r="G22" s="19"/>
      <c r="H22" s="19"/>
      <c r="I22" s="19"/>
      <c r="J22" s="19"/>
      <c r="K22" s="19"/>
    </row>
    <row r="23" spans="1:11" s="20" customFormat="1" ht="13.8" thickBot="1" x14ac:dyDescent="0.3"/>
    <row r="24" spans="1:11" s="20" customFormat="1" ht="36" customHeight="1" thickBot="1" x14ac:dyDescent="0.3">
      <c r="A24" s="226" t="s">
        <v>162</v>
      </c>
      <c r="B24" s="227"/>
      <c r="C24" s="228"/>
    </row>
    <row r="25" spans="1:11" s="20" customFormat="1" x14ac:dyDescent="0.25">
      <c r="A25" s="16"/>
      <c r="B25" s="16"/>
      <c r="C25" s="16"/>
    </row>
    <row r="26" spans="1:11" s="20" customFormat="1" ht="13.5" customHeight="1" x14ac:dyDescent="0.25">
      <c r="A26" s="105"/>
      <c r="B26" s="225" t="s">
        <v>77</v>
      </c>
      <c r="C26" s="225"/>
    </row>
    <row r="27" spans="1:11" s="20" customFormat="1" ht="13.5" customHeight="1" x14ac:dyDescent="0.25">
      <c r="A27" s="119" t="s">
        <v>88</v>
      </c>
      <c r="B27" s="17" t="s">
        <v>75</v>
      </c>
      <c r="C27" s="17" t="s">
        <v>26</v>
      </c>
    </row>
    <row r="28" spans="1:11" s="20" customFormat="1" ht="13.5" customHeight="1" x14ac:dyDescent="0.25">
      <c r="A28" s="44" t="s">
        <v>50</v>
      </c>
      <c r="B28" s="20">
        <v>214</v>
      </c>
      <c r="C28" s="22">
        <v>44.5</v>
      </c>
    </row>
    <row r="29" spans="1:11" s="20" customFormat="1" ht="13.5" customHeight="1" x14ac:dyDescent="0.25">
      <c r="A29" s="44" t="s">
        <v>58</v>
      </c>
      <c r="B29" s="20">
        <v>165</v>
      </c>
      <c r="C29" s="22">
        <v>34.200000000000003</v>
      </c>
    </row>
    <row r="30" spans="1:11" s="20" customFormat="1" ht="13.5" customHeight="1" x14ac:dyDescent="0.25">
      <c r="A30" s="44" t="s">
        <v>53</v>
      </c>
      <c r="B30" s="20">
        <v>139</v>
      </c>
      <c r="C30" s="22">
        <v>28.9</v>
      </c>
    </row>
    <row r="31" spans="1:11" s="20" customFormat="1" ht="13.5" customHeight="1" x14ac:dyDescent="0.25">
      <c r="A31" s="44" t="s">
        <v>52</v>
      </c>
      <c r="B31" s="20">
        <v>100</v>
      </c>
      <c r="C31" s="22">
        <v>20.7</v>
      </c>
    </row>
    <row r="32" spans="1:11" s="20" customFormat="1" ht="28.5" customHeight="1" x14ac:dyDescent="0.25">
      <c r="A32" s="44" t="s">
        <v>55</v>
      </c>
      <c r="B32" s="20">
        <v>93</v>
      </c>
      <c r="C32" s="22">
        <v>19.3</v>
      </c>
    </row>
    <row r="33" spans="1:11" s="20" customFormat="1" ht="13.5" customHeight="1" x14ac:dyDescent="0.25">
      <c r="A33" s="44" t="s">
        <v>46</v>
      </c>
      <c r="B33" s="20">
        <v>80</v>
      </c>
      <c r="C33" s="22">
        <v>16.7</v>
      </c>
    </row>
    <row r="34" spans="1:11" s="20" customFormat="1" ht="13.5" customHeight="1" x14ac:dyDescent="0.25">
      <c r="A34" s="44" t="s">
        <v>56</v>
      </c>
      <c r="B34" s="20">
        <v>75</v>
      </c>
      <c r="C34" s="22">
        <v>15.6</v>
      </c>
    </row>
    <row r="35" spans="1:11" s="20" customFormat="1" ht="28.5" customHeight="1" x14ac:dyDescent="0.25">
      <c r="A35" s="44" t="s">
        <v>57</v>
      </c>
      <c r="B35" s="20">
        <v>47</v>
      </c>
      <c r="C35" s="22">
        <v>9.8000000000000007</v>
      </c>
    </row>
    <row r="36" spans="1:11" s="20" customFormat="1" ht="13.5" customHeight="1" x14ac:dyDescent="0.25">
      <c r="A36" s="44" t="s">
        <v>51</v>
      </c>
      <c r="B36" s="20">
        <v>38</v>
      </c>
      <c r="C36" s="22">
        <v>8</v>
      </c>
    </row>
    <row r="37" spans="1:11" s="20" customFormat="1" ht="13.5" customHeight="1" x14ac:dyDescent="0.25">
      <c r="A37" s="44" t="s">
        <v>59</v>
      </c>
      <c r="B37" s="20">
        <v>30</v>
      </c>
      <c r="C37" s="22">
        <v>6.2</v>
      </c>
    </row>
    <row r="38" spans="1:11" s="20" customFormat="1" ht="26.4" x14ac:dyDescent="0.25">
      <c r="A38" s="44" t="s">
        <v>54</v>
      </c>
      <c r="B38" s="20">
        <v>28</v>
      </c>
      <c r="C38" s="22">
        <v>5.8</v>
      </c>
    </row>
    <row r="39" spans="1:11" s="20" customFormat="1" ht="13.5" customHeight="1" x14ac:dyDescent="0.25">
      <c r="A39" s="44" t="s">
        <v>49</v>
      </c>
      <c r="B39" s="20">
        <v>25</v>
      </c>
      <c r="C39" s="22">
        <v>5.0999999999999996</v>
      </c>
    </row>
    <row r="40" spans="1:11" s="20" customFormat="1" ht="13.5" customHeight="1" x14ac:dyDescent="0.25">
      <c r="A40" s="106" t="s">
        <v>111</v>
      </c>
      <c r="B40" s="23">
        <v>0</v>
      </c>
      <c r="C40" s="24">
        <v>0</v>
      </c>
    </row>
    <row r="41" spans="1:11" s="20" customFormat="1" ht="13.5" customHeight="1" x14ac:dyDescent="0.25">
      <c r="A41" s="107" t="s">
        <v>89</v>
      </c>
      <c r="B41" s="20">
        <f>SUM(B28:B40)</f>
        <v>1034</v>
      </c>
    </row>
    <row r="42" spans="1:11" s="20" customFormat="1" x14ac:dyDescent="0.25"/>
    <row r="43" spans="1:11" s="20" customFormat="1" ht="61.5" customHeight="1" x14ac:dyDescent="0.25">
      <c r="A43" s="229" t="s">
        <v>132</v>
      </c>
      <c r="B43" s="229"/>
      <c r="C43" s="229"/>
      <c r="D43" s="19"/>
      <c r="E43" s="19"/>
      <c r="F43" s="19"/>
      <c r="G43" s="19"/>
      <c r="H43" s="19"/>
      <c r="I43" s="19"/>
      <c r="J43" s="19"/>
      <c r="K43" s="19"/>
    </row>
    <row r="44" spans="1:11" s="20" customFormat="1" ht="13.8" thickBot="1" x14ac:dyDescent="0.3"/>
    <row r="45" spans="1:11" s="20" customFormat="1" ht="36" customHeight="1" thickBot="1" x14ac:dyDescent="0.3">
      <c r="A45" s="226" t="s">
        <v>61</v>
      </c>
      <c r="B45" s="227"/>
      <c r="C45" s="228"/>
    </row>
    <row r="46" spans="1:11" s="20" customFormat="1" x14ac:dyDescent="0.25">
      <c r="A46" s="16"/>
      <c r="B46" s="16"/>
      <c r="C46" s="16"/>
    </row>
    <row r="47" spans="1:11" s="20" customFormat="1" ht="13.5" customHeight="1" x14ac:dyDescent="0.25">
      <c r="A47" s="105"/>
      <c r="B47" s="225" t="s">
        <v>78</v>
      </c>
      <c r="C47" s="225"/>
    </row>
    <row r="48" spans="1:11" s="20" customFormat="1" ht="13.5" customHeight="1" x14ac:dyDescent="0.25">
      <c r="A48" s="119" t="s">
        <v>88</v>
      </c>
      <c r="B48" s="163" t="s">
        <v>75</v>
      </c>
      <c r="C48" s="163" t="s">
        <v>26</v>
      </c>
    </row>
    <row r="49" spans="1:3" s="20" customFormat="1" ht="13.5" customHeight="1" x14ac:dyDescent="0.25">
      <c r="A49" s="44" t="s">
        <v>65</v>
      </c>
      <c r="B49" s="20">
        <v>195</v>
      </c>
      <c r="C49" s="20">
        <v>38.299999999999997</v>
      </c>
    </row>
    <row r="50" spans="1:3" s="20" customFormat="1" ht="13.5" customHeight="1" x14ac:dyDescent="0.25">
      <c r="A50" s="44" t="s">
        <v>67</v>
      </c>
      <c r="B50" s="20">
        <v>172</v>
      </c>
      <c r="C50" s="20">
        <v>33.799999999999997</v>
      </c>
    </row>
    <row r="51" spans="1:3" s="20" customFormat="1" ht="13.5" customHeight="1" x14ac:dyDescent="0.25">
      <c r="A51" s="44" t="s">
        <v>69</v>
      </c>
      <c r="B51" s="20">
        <v>164</v>
      </c>
      <c r="C51" s="20">
        <v>32.200000000000003</v>
      </c>
    </row>
    <row r="52" spans="1:3" s="20" customFormat="1" ht="13.5" customHeight="1" x14ac:dyDescent="0.25">
      <c r="A52" s="44" t="s">
        <v>64</v>
      </c>
      <c r="B52" s="20">
        <v>139</v>
      </c>
      <c r="C52" s="20">
        <v>27.3</v>
      </c>
    </row>
    <row r="53" spans="1:3" s="20" customFormat="1" ht="13.5" customHeight="1" x14ac:dyDescent="0.25">
      <c r="A53" s="44" t="s">
        <v>46</v>
      </c>
      <c r="B53" s="20">
        <v>95</v>
      </c>
      <c r="C53" s="20">
        <v>18.7</v>
      </c>
    </row>
    <row r="54" spans="1:3" s="20" customFormat="1" ht="13.5" customHeight="1" x14ac:dyDescent="0.25">
      <c r="A54" s="44" t="s">
        <v>66</v>
      </c>
      <c r="B54" s="20">
        <v>93</v>
      </c>
      <c r="C54" s="20">
        <v>18.3</v>
      </c>
    </row>
    <row r="55" spans="1:3" s="20" customFormat="1" ht="13.5" customHeight="1" x14ac:dyDescent="0.25">
      <c r="A55" s="44" t="s">
        <v>63</v>
      </c>
      <c r="B55" s="20">
        <v>91</v>
      </c>
      <c r="C55" s="20">
        <v>17.899999999999999</v>
      </c>
    </row>
    <row r="56" spans="1:3" s="20" customFormat="1" ht="13.5" customHeight="1" x14ac:dyDescent="0.25">
      <c r="A56" s="44" t="s">
        <v>62</v>
      </c>
      <c r="B56" s="20">
        <v>72</v>
      </c>
      <c r="C56" s="20">
        <v>14.2</v>
      </c>
    </row>
    <row r="57" spans="1:3" s="20" customFormat="1" ht="13.5" customHeight="1" x14ac:dyDescent="0.25">
      <c r="A57" s="44" t="s">
        <v>71</v>
      </c>
      <c r="B57" s="20">
        <v>68</v>
      </c>
      <c r="C57" s="20">
        <v>13.3</v>
      </c>
    </row>
    <row r="58" spans="1:3" s="20" customFormat="1" ht="13.5" customHeight="1" x14ac:dyDescent="0.25">
      <c r="A58" s="44" t="s">
        <v>72</v>
      </c>
      <c r="B58" s="20">
        <v>64</v>
      </c>
      <c r="C58" s="20">
        <v>12.5</v>
      </c>
    </row>
    <row r="59" spans="1:3" s="20" customFormat="1" ht="13.5" customHeight="1" x14ac:dyDescent="0.25">
      <c r="A59" s="44" t="s">
        <v>68</v>
      </c>
      <c r="B59" s="20">
        <v>52</v>
      </c>
      <c r="C59" s="20">
        <v>10.199999999999999</v>
      </c>
    </row>
    <row r="60" spans="1:3" s="20" customFormat="1" ht="28.5" customHeight="1" x14ac:dyDescent="0.25">
      <c r="A60" s="44" t="s">
        <v>81</v>
      </c>
      <c r="B60" s="20">
        <v>38</v>
      </c>
      <c r="C60" s="20">
        <v>7.4</v>
      </c>
    </row>
    <row r="61" spans="1:3" s="20" customFormat="1" ht="13.5" customHeight="1" x14ac:dyDescent="0.25">
      <c r="A61" s="44" t="s">
        <v>70</v>
      </c>
      <c r="B61" s="20">
        <v>18</v>
      </c>
      <c r="C61" s="20">
        <v>3.6</v>
      </c>
    </row>
    <row r="62" spans="1:3" s="20" customFormat="1" ht="13.5" customHeight="1" x14ac:dyDescent="0.25">
      <c r="A62" s="44" t="s">
        <v>73</v>
      </c>
      <c r="B62" s="20">
        <v>9</v>
      </c>
      <c r="C62" s="20">
        <v>1.8</v>
      </c>
    </row>
    <row r="63" spans="1:3" s="20" customFormat="1" ht="13.5" customHeight="1" x14ac:dyDescent="0.25">
      <c r="A63" s="106" t="s">
        <v>111</v>
      </c>
      <c r="B63" s="23">
        <v>1</v>
      </c>
      <c r="C63" s="23">
        <v>0.1</v>
      </c>
    </row>
    <row r="64" spans="1:3" s="20" customFormat="1" ht="13.5" customHeight="1" x14ac:dyDescent="0.25">
      <c r="A64" s="107" t="s">
        <v>89</v>
      </c>
      <c r="B64" s="20">
        <f>SUM(B49:B63)</f>
        <v>1271</v>
      </c>
    </row>
    <row r="65" spans="1:11" s="20" customFormat="1" x14ac:dyDescent="0.25"/>
    <row r="66" spans="1:11" s="20" customFormat="1" x14ac:dyDescent="0.25"/>
    <row r="67" spans="1:11" s="20" customFormat="1" ht="61.5" customHeight="1" x14ac:dyDescent="0.25">
      <c r="A67" s="229" t="s">
        <v>132</v>
      </c>
      <c r="B67" s="229"/>
      <c r="C67" s="229"/>
      <c r="D67" s="19"/>
      <c r="E67" s="19"/>
      <c r="F67" s="19"/>
      <c r="G67" s="19"/>
      <c r="H67" s="19"/>
      <c r="I67" s="19"/>
      <c r="J67" s="19"/>
      <c r="K67" s="19"/>
    </row>
    <row r="68" spans="1:11" s="20" customFormat="1" ht="13.8" thickBot="1" x14ac:dyDescent="0.3"/>
    <row r="69" spans="1:11" s="20" customFormat="1" ht="54" customHeight="1" thickBot="1" x14ac:dyDescent="0.3">
      <c r="A69" s="226" t="s">
        <v>108</v>
      </c>
      <c r="B69" s="227"/>
      <c r="C69" s="228"/>
    </row>
    <row r="70" spans="1:11" s="20" customFormat="1" x14ac:dyDescent="0.25">
      <c r="A70" s="126"/>
      <c r="B70" s="15"/>
      <c r="C70" s="39"/>
    </row>
    <row r="71" spans="1:11" s="20" customFormat="1" ht="13.5" customHeight="1" x14ac:dyDescent="0.25">
      <c r="A71" s="118"/>
      <c r="B71" s="225" t="s">
        <v>79</v>
      </c>
      <c r="C71" s="225"/>
    </row>
    <row r="72" spans="1:11" s="20" customFormat="1" ht="13.5" customHeight="1" x14ac:dyDescent="0.25">
      <c r="A72" s="119" t="s">
        <v>88</v>
      </c>
      <c r="B72" s="163" t="s">
        <v>75</v>
      </c>
      <c r="C72" s="163" t="s">
        <v>26</v>
      </c>
    </row>
    <row r="73" spans="1:11" s="20" customFormat="1" ht="13.5" customHeight="1" x14ac:dyDescent="0.25">
      <c r="A73" s="44" t="s">
        <v>38</v>
      </c>
      <c r="B73" s="20">
        <v>689</v>
      </c>
      <c r="C73" s="20">
        <v>78.5</v>
      </c>
    </row>
    <row r="74" spans="1:11" s="20" customFormat="1" ht="13.5" customHeight="1" x14ac:dyDescent="0.25">
      <c r="A74" s="44" t="s">
        <v>37</v>
      </c>
      <c r="B74" s="20">
        <v>380</v>
      </c>
      <c r="C74" s="20">
        <v>43.2</v>
      </c>
    </row>
    <row r="75" spans="1:11" s="20" customFormat="1" ht="13.5" customHeight="1" x14ac:dyDescent="0.25">
      <c r="A75" s="44" t="s">
        <v>113</v>
      </c>
      <c r="B75" s="20">
        <v>303</v>
      </c>
      <c r="C75" s="20">
        <v>34.5</v>
      </c>
    </row>
    <row r="76" spans="1:11" s="20" customFormat="1" ht="13.5" customHeight="1" x14ac:dyDescent="0.25">
      <c r="A76" s="44" t="s">
        <v>41</v>
      </c>
      <c r="B76" s="20">
        <v>282</v>
      </c>
      <c r="C76" s="20">
        <v>32.1</v>
      </c>
    </row>
    <row r="77" spans="1:11" s="20" customFormat="1" ht="13.5" customHeight="1" x14ac:dyDescent="0.25">
      <c r="A77" s="44" t="s">
        <v>39</v>
      </c>
      <c r="B77" s="20">
        <v>205</v>
      </c>
      <c r="C77" s="20">
        <v>23.3</v>
      </c>
    </row>
    <row r="78" spans="1:11" s="20" customFormat="1" ht="13.5" customHeight="1" x14ac:dyDescent="0.25">
      <c r="A78" s="44" t="s">
        <v>40</v>
      </c>
      <c r="B78" s="20">
        <v>182</v>
      </c>
      <c r="C78" s="20">
        <v>20.7</v>
      </c>
    </row>
    <row r="79" spans="1:11" s="20" customFormat="1" ht="13.5" customHeight="1" x14ac:dyDescent="0.25">
      <c r="A79" s="44" t="s">
        <v>43</v>
      </c>
      <c r="B79" s="20">
        <v>175</v>
      </c>
      <c r="C79" s="20">
        <v>19.899999999999999</v>
      </c>
    </row>
    <row r="80" spans="1:11" s="20" customFormat="1" ht="13.5" customHeight="1" x14ac:dyDescent="0.25">
      <c r="A80" s="127" t="s">
        <v>45</v>
      </c>
      <c r="B80" s="20">
        <v>168</v>
      </c>
      <c r="C80" s="20">
        <v>19.2</v>
      </c>
    </row>
    <row r="81" spans="1:3" s="20" customFormat="1" ht="28.5" customHeight="1" x14ac:dyDescent="0.25">
      <c r="A81" s="44" t="s">
        <v>80</v>
      </c>
      <c r="B81" s="20">
        <v>150</v>
      </c>
      <c r="C81" s="20">
        <v>17.100000000000001</v>
      </c>
    </row>
    <row r="82" spans="1:3" s="20" customFormat="1" ht="13.5" customHeight="1" x14ac:dyDescent="0.25">
      <c r="A82" s="44" t="s">
        <v>44</v>
      </c>
      <c r="B82" s="20">
        <v>145</v>
      </c>
      <c r="C82" s="20">
        <v>16.5</v>
      </c>
    </row>
    <row r="83" spans="1:3" s="20" customFormat="1" ht="13.5" customHeight="1" x14ac:dyDescent="0.25">
      <c r="A83" s="44" t="s">
        <v>42</v>
      </c>
      <c r="B83" s="20">
        <v>139</v>
      </c>
      <c r="C83" s="20">
        <v>15.8</v>
      </c>
    </row>
    <row r="84" spans="1:3" s="20" customFormat="1" ht="13.5" customHeight="1" x14ac:dyDescent="0.25">
      <c r="A84" s="44" t="s">
        <v>46</v>
      </c>
      <c r="B84" s="20">
        <v>78</v>
      </c>
      <c r="C84" s="20">
        <v>8.9</v>
      </c>
    </row>
    <row r="85" spans="1:3" s="20" customFormat="1" ht="13.5" customHeight="1" x14ac:dyDescent="0.25">
      <c r="A85" s="106" t="s">
        <v>111</v>
      </c>
      <c r="B85" s="23">
        <v>32</v>
      </c>
      <c r="C85" s="23">
        <v>3.7</v>
      </c>
    </row>
    <row r="86" spans="1:3" s="20" customFormat="1" ht="13.5" customHeight="1" x14ac:dyDescent="0.25">
      <c r="A86" s="107" t="s">
        <v>89</v>
      </c>
      <c r="B86" s="20">
        <f>SUM(B73:B85)</f>
        <v>2928</v>
      </c>
    </row>
  </sheetData>
  <mergeCells count="12">
    <mergeCell ref="B71:C71"/>
    <mergeCell ref="A69:C69"/>
    <mergeCell ref="A22:C22"/>
    <mergeCell ref="A43:C43"/>
    <mergeCell ref="A67:C67"/>
    <mergeCell ref="B26:C26"/>
    <mergeCell ref="B47:C47"/>
    <mergeCell ref="A3:C3"/>
    <mergeCell ref="A1:C1"/>
    <mergeCell ref="A24:C24"/>
    <mergeCell ref="A45:C45"/>
    <mergeCell ref="B5:C5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3" manualBreakCount="3">
    <brk id="21" max="16383" man="1"/>
    <brk id="42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52" workbookViewId="0">
      <selection activeCell="C78" sqref="C78"/>
    </sheetView>
  </sheetViews>
  <sheetFormatPr baseColWidth="10" defaultRowHeight="13.2" x14ac:dyDescent="0.25"/>
  <cols>
    <col min="1" max="1" width="15" customWidth="1"/>
    <col min="2" max="2" width="50" customWidth="1"/>
    <col min="3" max="4" width="13.109375" customWidth="1"/>
  </cols>
  <sheetData>
    <row r="1" spans="1:6" s="20" customFormat="1" ht="61.5" customHeight="1" x14ac:dyDescent="0.25">
      <c r="A1" s="229" t="s">
        <v>132</v>
      </c>
      <c r="B1" s="229"/>
      <c r="C1" s="229"/>
      <c r="D1" s="229"/>
      <c r="E1" s="19"/>
      <c r="F1" s="19"/>
    </row>
    <row r="2" spans="1:6" ht="13.8" thickBot="1" x14ac:dyDescent="0.3"/>
    <row r="3" spans="1:6" ht="45" customHeight="1" thickBot="1" x14ac:dyDescent="0.3">
      <c r="A3" s="186" t="s">
        <v>160</v>
      </c>
      <c r="B3" s="232" t="s">
        <v>157</v>
      </c>
      <c r="C3" s="233"/>
      <c r="D3" s="233"/>
    </row>
    <row r="4" spans="1:6" ht="45" customHeight="1" thickBot="1" x14ac:dyDescent="0.3">
      <c r="A4" s="187" t="s">
        <v>158</v>
      </c>
      <c r="B4" s="232" t="s">
        <v>161</v>
      </c>
      <c r="C4" s="233"/>
      <c r="D4" s="233"/>
    </row>
    <row r="5" spans="1:6" x14ac:dyDescent="0.25">
      <c r="A5" s="7"/>
      <c r="B5" s="16"/>
      <c r="C5" s="180"/>
      <c r="D5" s="180"/>
    </row>
    <row r="6" spans="1:6" x14ac:dyDescent="0.25">
      <c r="A6" s="195" t="s">
        <v>88</v>
      </c>
      <c r="B6" s="236"/>
      <c r="C6" s="181" t="s">
        <v>4</v>
      </c>
      <c r="D6" s="179" t="s">
        <v>0</v>
      </c>
    </row>
    <row r="7" spans="1:6" ht="12.75" customHeight="1" x14ac:dyDescent="0.25">
      <c r="A7" s="234" t="s">
        <v>38</v>
      </c>
      <c r="B7" s="235"/>
      <c r="C7" s="182" t="s">
        <v>134</v>
      </c>
      <c r="D7" s="182" t="s">
        <v>145</v>
      </c>
    </row>
    <row r="8" spans="1:6" ht="12.75" customHeight="1" x14ac:dyDescent="0.25">
      <c r="A8" s="230" t="s">
        <v>112</v>
      </c>
      <c r="B8" s="231"/>
      <c r="C8" s="183">
        <v>0.4</v>
      </c>
      <c r="D8" s="182" t="s">
        <v>147</v>
      </c>
    </row>
    <row r="9" spans="1:6" ht="12.75" customHeight="1" x14ac:dyDescent="0.25">
      <c r="A9" s="230" t="s">
        <v>40</v>
      </c>
      <c r="B9" s="231"/>
      <c r="C9" s="182" t="s">
        <v>135</v>
      </c>
      <c r="D9" s="182" t="s">
        <v>150</v>
      </c>
    </row>
    <row r="10" spans="1:6" x14ac:dyDescent="0.25">
      <c r="A10" s="230" t="s">
        <v>41</v>
      </c>
      <c r="B10" s="231"/>
      <c r="C10" s="182" t="s">
        <v>136</v>
      </c>
      <c r="D10" s="182" t="s">
        <v>148</v>
      </c>
    </row>
    <row r="11" spans="1:6" x14ac:dyDescent="0.25">
      <c r="A11" s="230" t="s">
        <v>37</v>
      </c>
      <c r="B11" s="231"/>
      <c r="C11" s="182" t="s">
        <v>137</v>
      </c>
      <c r="D11" s="182" t="s">
        <v>146</v>
      </c>
    </row>
    <row r="12" spans="1:6" x14ac:dyDescent="0.25">
      <c r="A12" s="230" t="s">
        <v>39</v>
      </c>
      <c r="B12" s="231"/>
      <c r="C12" s="182" t="s">
        <v>138</v>
      </c>
      <c r="D12" s="182" t="s">
        <v>149</v>
      </c>
    </row>
    <row r="13" spans="1:6" x14ac:dyDescent="0.25">
      <c r="A13" s="230" t="s">
        <v>45</v>
      </c>
      <c r="B13" s="231"/>
      <c r="C13" s="182" t="s">
        <v>139</v>
      </c>
      <c r="D13" s="182" t="s">
        <v>152</v>
      </c>
    </row>
    <row r="14" spans="1:6" x14ac:dyDescent="0.25">
      <c r="A14" s="230" t="s">
        <v>43</v>
      </c>
      <c r="B14" s="231"/>
      <c r="C14" s="182" t="s">
        <v>140</v>
      </c>
      <c r="D14" s="182" t="s">
        <v>151</v>
      </c>
    </row>
    <row r="15" spans="1:6" x14ac:dyDescent="0.25">
      <c r="A15" s="230" t="s">
        <v>44</v>
      </c>
      <c r="B15" s="231"/>
      <c r="C15" s="182" t="s">
        <v>141</v>
      </c>
      <c r="D15" s="182" t="s">
        <v>139</v>
      </c>
    </row>
    <row r="16" spans="1:6" x14ac:dyDescent="0.25">
      <c r="A16" s="230" t="s">
        <v>42</v>
      </c>
      <c r="B16" s="231"/>
      <c r="C16" s="182" t="s">
        <v>142</v>
      </c>
      <c r="D16" s="182" t="s">
        <v>154</v>
      </c>
    </row>
    <row r="17" spans="1:4" ht="28.5" customHeight="1" x14ac:dyDescent="0.25">
      <c r="A17" s="237" t="s">
        <v>159</v>
      </c>
      <c r="B17" s="231"/>
      <c r="C17" s="182" t="s">
        <v>143</v>
      </c>
      <c r="D17" s="182" t="s">
        <v>153</v>
      </c>
    </row>
    <row r="18" spans="1:4" x14ac:dyDescent="0.25">
      <c r="A18" s="230" t="s">
        <v>111</v>
      </c>
      <c r="B18" s="231"/>
      <c r="C18" s="182" t="s">
        <v>144</v>
      </c>
      <c r="D18" s="182" t="s">
        <v>156</v>
      </c>
    </row>
    <row r="19" spans="1:4" x14ac:dyDescent="0.25">
      <c r="A19" s="230" t="s">
        <v>46</v>
      </c>
      <c r="B19" s="231"/>
      <c r="C19" s="184">
        <v>0.06</v>
      </c>
      <c r="D19" s="185" t="s">
        <v>155</v>
      </c>
    </row>
    <row r="21" spans="1:4" x14ac:dyDescent="0.25">
      <c r="B21" s="190" t="s">
        <v>88</v>
      </c>
      <c r="C21" s="188" t="s">
        <v>0</v>
      </c>
      <c r="D21" s="188" t="s">
        <v>4</v>
      </c>
    </row>
    <row r="22" spans="1:4" x14ac:dyDescent="0.25">
      <c r="B22" t="s">
        <v>39</v>
      </c>
      <c r="C22" s="189">
        <v>0.23300000000000001</v>
      </c>
      <c r="D22" s="189">
        <v>0.22600000000000001</v>
      </c>
    </row>
    <row r="23" spans="1:4" x14ac:dyDescent="0.25">
      <c r="B23" s="191" t="s">
        <v>37</v>
      </c>
      <c r="C23" s="189">
        <v>0.432</v>
      </c>
      <c r="D23" s="189">
        <v>0.23200000000000001</v>
      </c>
    </row>
    <row r="24" spans="1:4" x14ac:dyDescent="0.25">
      <c r="B24" t="s">
        <v>41</v>
      </c>
      <c r="C24" s="189">
        <v>0.32100000000000001</v>
      </c>
      <c r="D24" s="189">
        <v>0.25600000000000001</v>
      </c>
    </row>
    <row r="25" spans="1:4" x14ac:dyDescent="0.25">
      <c r="B25" t="s">
        <v>40</v>
      </c>
      <c r="C25" s="189">
        <v>0.20699999999999999</v>
      </c>
      <c r="D25" s="189">
        <v>0.378</v>
      </c>
    </row>
    <row r="26" spans="1:4" ht="13.5" customHeight="1" x14ac:dyDescent="0.25">
      <c r="B26" t="s">
        <v>112</v>
      </c>
      <c r="C26" s="189">
        <v>0.34499999999999997</v>
      </c>
      <c r="D26" s="189">
        <v>0.4</v>
      </c>
    </row>
    <row r="27" spans="1:4" x14ac:dyDescent="0.25">
      <c r="B27" t="s">
        <v>38</v>
      </c>
      <c r="C27" s="189">
        <v>0.78500000000000003</v>
      </c>
      <c r="D27" s="189">
        <v>0.72799999999999998</v>
      </c>
    </row>
    <row r="56" spans="2:4" x14ac:dyDescent="0.25">
      <c r="B56" s="192" t="s">
        <v>88</v>
      </c>
      <c r="C56" s="188" t="s">
        <v>0</v>
      </c>
      <c r="D56" s="188" t="s">
        <v>4</v>
      </c>
    </row>
    <row r="57" spans="2:4" x14ac:dyDescent="0.25">
      <c r="B57" s="1" t="s">
        <v>112</v>
      </c>
      <c r="C57" s="189">
        <v>0.34499999999999997</v>
      </c>
      <c r="D57" s="189">
        <v>0.4</v>
      </c>
    </row>
    <row r="58" spans="2:4" x14ac:dyDescent="0.25">
      <c r="B58" s="1" t="s">
        <v>38</v>
      </c>
      <c r="C58" s="189">
        <v>0.78500000000000003</v>
      </c>
      <c r="D58" s="189">
        <v>0.72799999999999998</v>
      </c>
    </row>
  </sheetData>
  <mergeCells count="17">
    <mergeCell ref="A12:B12"/>
    <mergeCell ref="A13:B13"/>
    <mergeCell ref="A14:B14"/>
    <mergeCell ref="B4:D4"/>
    <mergeCell ref="A9:B9"/>
    <mergeCell ref="A10:B10"/>
    <mergeCell ref="A11:B11"/>
    <mergeCell ref="A15:B15"/>
    <mergeCell ref="A1:D1"/>
    <mergeCell ref="A19:B19"/>
    <mergeCell ref="B3:D3"/>
    <mergeCell ref="A7:B7"/>
    <mergeCell ref="A8:B8"/>
    <mergeCell ref="A6:B6"/>
    <mergeCell ref="A16:B16"/>
    <mergeCell ref="A17:B17"/>
    <mergeCell ref="A18:B18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2" manualBreakCount="2">
    <brk id="20" max="16383" man="1"/>
    <brk id="5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H47" sqref="H47"/>
    </sheetView>
  </sheetViews>
  <sheetFormatPr baseColWidth="10" defaultRowHeight="13.2" x14ac:dyDescent="0.25"/>
  <cols>
    <col min="1" max="1" width="57.6640625" customWidth="1"/>
    <col min="2" max="2" width="7.5546875" bestFit="1" customWidth="1"/>
    <col min="3" max="3" width="8" bestFit="1" customWidth="1"/>
    <col min="4" max="4" width="7.5546875" bestFit="1" customWidth="1"/>
    <col min="5" max="5" width="8" bestFit="1" customWidth="1"/>
    <col min="6" max="6" width="7.5546875" bestFit="1" customWidth="1"/>
    <col min="7" max="7" width="8" bestFit="1" customWidth="1"/>
  </cols>
  <sheetData>
    <row r="1" spans="1:10" s="20" customFormat="1" ht="61.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19"/>
      <c r="I1" s="19"/>
      <c r="J1" s="19"/>
    </row>
    <row r="2" spans="1:10" s="20" customFormat="1" ht="13.8" thickBot="1" x14ac:dyDescent="0.3"/>
    <row r="3" spans="1:10" s="27" customFormat="1" ht="54" customHeight="1" thickBot="1" x14ac:dyDescent="0.3">
      <c r="A3" s="226" t="s">
        <v>110</v>
      </c>
      <c r="B3" s="227"/>
      <c r="C3" s="227"/>
      <c r="D3" s="227"/>
      <c r="E3" s="227"/>
      <c r="F3" s="227"/>
      <c r="G3" s="228"/>
      <c r="H3" s="38"/>
      <c r="I3" s="38"/>
      <c r="J3" s="38"/>
    </row>
    <row r="4" spans="1:10" s="28" customFormat="1" x14ac:dyDescent="0.25">
      <c r="A4" s="16"/>
      <c r="B4" s="16"/>
    </row>
    <row r="5" spans="1:10" s="28" customFormat="1" x14ac:dyDescent="0.25">
      <c r="A5" s="108"/>
      <c r="B5" s="29" t="s">
        <v>84</v>
      </c>
      <c r="C5" s="18">
        <v>82</v>
      </c>
      <c r="D5" s="29" t="s">
        <v>84</v>
      </c>
      <c r="E5" s="30">
        <v>78</v>
      </c>
      <c r="F5" s="29" t="s">
        <v>84</v>
      </c>
      <c r="G5" s="30">
        <f>C5+E5</f>
        <v>160</v>
      </c>
    </row>
    <row r="6" spans="1:10" s="28" customFormat="1" x14ac:dyDescent="0.25">
      <c r="A6" s="108"/>
      <c r="B6" s="225" t="s">
        <v>82</v>
      </c>
      <c r="C6" s="225"/>
      <c r="D6" s="225" t="s">
        <v>83</v>
      </c>
      <c r="E6" s="225"/>
      <c r="F6" s="238" t="s">
        <v>85</v>
      </c>
      <c r="G6" s="238"/>
    </row>
    <row r="7" spans="1:10" s="20" customFormat="1" ht="13.8" thickBot="1" x14ac:dyDescent="0.3">
      <c r="A7" s="109" t="s">
        <v>88</v>
      </c>
      <c r="B7" s="98" t="s">
        <v>75</v>
      </c>
      <c r="C7" s="98" t="s">
        <v>26</v>
      </c>
      <c r="D7" s="98" t="s">
        <v>75</v>
      </c>
      <c r="E7" s="98" t="s">
        <v>26</v>
      </c>
      <c r="F7" s="97" t="s">
        <v>75</v>
      </c>
      <c r="G7" s="97" t="s">
        <v>26</v>
      </c>
    </row>
    <row r="8" spans="1:10" s="20" customFormat="1" x14ac:dyDescent="0.25">
      <c r="A8" s="122" t="s">
        <v>38</v>
      </c>
      <c r="B8" s="20">
        <f>2+34+23</f>
        <v>59</v>
      </c>
      <c r="C8" s="22">
        <f>B8*100/$C$5</f>
        <v>71.951219512195124</v>
      </c>
      <c r="D8" s="20">
        <f>21+23+7+6</f>
        <v>57</v>
      </c>
      <c r="E8" s="22">
        <f>D8*100/$E$5</f>
        <v>73.07692307692308</v>
      </c>
      <c r="F8" s="20">
        <f>B8+D8</f>
        <v>116</v>
      </c>
      <c r="G8" s="22">
        <f>F8*100/$G$5</f>
        <v>72.5</v>
      </c>
    </row>
    <row r="9" spans="1:10" s="20" customFormat="1" x14ac:dyDescent="0.25">
      <c r="A9" s="122" t="s">
        <v>112</v>
      </c>
      <c r="B9" s="20">
        <f>21+9</f>
        <v>30</v>
      </c>
      <c r="C9" s="22">
        <f t="shared" ref="C9:C20" si="0">B9*100/$C$5</f>
        <v>36.585365853658537</v>
      </c>
      <c r="D9" s="20">
        <f>9+15+7+2</f>
        <v>33</v>
      </c>
      <c r="E9" s="22">
        <f t="shared" ref="E9:E20" si="1">D9*100/$E$5</f>
        <v>42.307692307692307</v>
      </c>
      <c r="F9" s="20">
        <f t="shared" ref="F9:F20" si="2">B9+D9</f>
        <v>63</v>
      </c>
      <c r="G9" s="22">
        <f t="shared" ref="G9:G20" si="3">F9*100/$G$5</f>
        <v>39.375</v>
      </c>
    </row>
    <row r="10" spans="1:10" s="20" customFormat="1" x14ac:dyDescent="0.25">
      <c r="A10" s="123" t="s">
        <v>40</v>
      </c>
      <c r="B10" s="32">
        <f>2+20+13</f>
        <v>35</v>
      </c>
      <c r="C10" s="33">
        <f t="shared" si="0"/>
        <v>42.68292682926829</v>
      </c>
      <c r="D10" s="32">
        <f>7+9+5+4</f>
        <v>25</v>
      </c>
      <c r="E10" s="33">
        <f t="shared" si="1"/>
        <v>32.051282051282051</v>
      </c>
      <c r="F10" s="32">
        <f t="shared" si="2"/>
        <v>60</v>
      </c>
      <c r="G10" s="33">
        <f t="shared" si="3"/>
        <v>37.5</v>
      </c>
    </row>
    <row r="11" spans="1:10" s="20" customFormat="1" x14ac:dyDescent="0.25">
      <c r="A11" s="123" t="s">
        <v>41</v>
      </c>
      <c r="B11" s="32">
        <f>1+15+7</f>
        <v>23</v>
      </c>
      <c r="C11" s="33">
        <f t="shared" si="0"/>
        <v>28.048780487804876</v>
      </c>
      <c r="D11" s="32">
        <f>6+10+2+1</f>
        <v>19</v>
      </c>
      <c r="E11" s="33">
        <f t="shared" si="1"/>
        <v>24.358974358974358</v>
      </c>
      <c r="F11" s="32">
        <f t="shared" si="2"/>
        <v>42</v>
      </c>
      <c r="G11" s="33">
        <f t="shared" si="3"/>
        <v>26.25</v>
      </c>
    </row>
    <row r="12" spans="1:10" s="20" customFormat="1" x14ac:dyDescent="0.25">
      <c r="A12" s="123" t="s">
        <v>37</v>
      </c>
      <c r="B12" s="32">
        <f>1+7+10</f>
        <v>18</v>
      </c>
      <c r="C12" s="33">
        <f t="shared" si="0"/>
        <v>21.951219512195124</v>
      </c>
      <c r="D12" s="32">
        <f>5+5+5+3</f>
        <v>18</v>
      </c>
      <c r="E12" s="33">
        <f t="shared" si="1"/>
        <v>23.076923076923077</v>
      </c>
      <c r="F12" s="32">
        <f t="shared" si="2"/>
        <v>36</v>
      </c>
      <c r="G12" s="33">
        <f t="shared" si="3"/>
        <v>22.5</v>
      </c>
    </row>
    <row r="13" spans="1:10" s="20" customFormat="1" x14ac:dyDescent="0.25">
      <c r="A13" s="123" t="s">
        <v>39</v>
      </c>
      <c r="B13" s="32">
        <f>0+11+4</f>
        <v>15</v>
      </c>
      <c r="C13" s="33">
        <f t="shared" si="0"/>
        <v>18.292682926829269</v>
      </c>
      <c r="D13" s="32">
        <f>6+9+2+4</f>
        <v>21</v>
      </c>
      <c r="E13" s="33">
        <f t="shared" si="1"/>
        <v>26.923076923076923</v>
      </c>
      <c r="F13" s="32">
        <f t="shared" si="2"/>
        <v>36</v>
      </c>
      <c r="G13" s="33">
        <f t="shared" si="3"/>
        <v>22.5</v>
      </c>
    </row>
    <row r="14" spans="1:10" s="20" customFormat="1" x14ac:dyDescent="0.25">
      <c r="A14" s="123" t="s">
        <v>45</v>
      </c>
      <c r="B14" s="32">
        <f>0+8+5</f>
        <v>13</v>
      </c>
      <c r="C14" s="33">
        <f t="shared" si="0"/>
        <v>15.853658536585366</v>
      </c>
      <c r="D14" s="32">
        <f>3+8+2</f>
        <v>13</v>
      </c>
      <c r="E14" s="33">
        <f t="shared" si="1"/>
        <v>16.666666666666668</v>
      </c>
      <c r="F14" s="32">
        <f t="shared" si="2"/>
        <v>26</v>
      </c>
      <c r="G14" s="33">
        <f t="shared" si="3"/>
        <v>16.25</v>
      </c>
    </row>
    <row r="15" spans="1:10" s="20" customFormat="1" x14ac:dyDescent="0.25">
      <c r="A15" s="123" t="s">
        <v>43</v>
      </c>
      <c r="B15" s="32">
        <f>8+6</f>
        <v>14</v>
      </c>
      <c r="C15" s="33">
        <f t="shared" si="0"/>
        <v>17.073170731707318</v>
      </c>
      <c r="D15" s="32">
        <f>5+4+1+2</f>
        <v>12</v>
      </c>
      <c r="E15" s="33">
        <f t="shared" si="1"/>
        <v>15.384615384615385</v>
      </c>
      <c r="F15" s="32">
        <f t="shared" si="2"/>
        <v>26</v>
      </c>
      <c r="G15" s="33">
        <f t="shared" si="3"/>
        <v>16.25</v>
      </c>
    </row>
    <row r="16" spans="1:10" s="20" customFormat="1" x14ac:dyDescent="0.25">
      <c r="A16" s="123" t="s">
        <v>44</v>
      </c>
      <c r="B16" s="32">
        <f>1+10+4</f>
        <v>15</v>
      </c>
      <c r="C16" s="33">
        <f t="shared" si="0"/>
        <v>18.292682926829269</v>
      </c>
      <c r="D16" s="32">
        <f>3+4</f>
        <v>7</v>
      </c>
      <c r="E16" s="33">
        <f t="shared" si="1"/>
        <v>8.9743589743589745</v>
      </c>
      <c r="F16" s="32">
        <f t="shared" si="2"/>
        <v>22</v>
      </c>
      <c r="G16" s="33">
        <f t="shared" si="3"/>
        <v>13.75</v>
      </c>
    </row>
    <row r="17" spans="1:10" s="20" customFormat="1" ht="26.4" x14ac:dyDescent="0.25">
      <c r="A17" s="123" t="s">
        <v>109</v>
      </c>
      <c r="B17" s="32">
        <f>8+4</f>
        <v>12</v>
      </c>
      <c r="C17" s="33">
        <f t="shared" si="0"/>
        <v>14.634146341463415</v>
      </c>
      <c r="D17" s="32">
        <f>5+3+1</f>
        <v>9</v>
      </c>
      <c r="E17" s="33">
        <f t="shared" si="1"/>
        <v>11.538461538461538</v>
      </c>
      <c r="F17" s="32">
        <f t="shared" si="2"/>
        <v>21</v>
      </c>
      <c r="G17" s="33">
        <f t="shared" si="3"/>
        <v>13.125</v>
      </c>
    </row>
    <row r="18" spans="1:10" s="20" customFormat="1" x14ac:dyDescent="0.25">
      <c r="A18" s="123" t="s">
        <v>42</v>
      </c>
      <c r="B18" s="32">
        <f>1+4+4</f>
        <v>9</v>
      </c>
      <c r="C18" s="33">
        <f t="shared" si="0"/>
        <v>10.975609756097562</v>
      </c>
      <c r="D18" s="32">
        <f>5+6+2</f>
        <v>13</v>
      </c>
      <c r="E18" s="33">
        <f t="shared" si="1"/>
        <v>16.666666666666668</v>
      </c>
      <c r="F18" s="32">
        <f t="shared" si="2"/>
        <v>22</v>
      </c>
      <c r="G18" s="33">
        <f t="shared" si="3"/>
        <v>13.75</v>
      </c>
    </row>
    <row r="19" spans="1:10" s="20" customFormat="1" x14ac:dyDescent="0.25">
      <c r="A19" s="123" t="s">
        <v>111</v>
      </c>
      <c r="B19" s="32">
        <f>6+6</f>
        <v>12</v>
      </c>
      <c r="C19" s="34">
        <f t="shared" si="0"/>
        <v>14.634146341463415</v>
      </c>
      <c r="D19" s="35">
        <f>3+1+1</f>
        <v>5</v>
      </c>
      <c r="E19" s="34">
        <f t="shared" si="1"/>
        <v>6.4102564102564106</v>
      </c>
      <c r="F19" s="35">
        <f t="shared" si="2"/>
        <v>17</v>
      </c>
      <c r="G19" s="34">
        <f t="shared" si="3"/>
        <v>10.625</v>
      </c>
    </row>
    <row r="20" spans="1:10" s="20" customFormat="1" ht="13.8" thickBot="1" x14ac:dyDescent="0.3">
      <c r="A20" s="124" t="s">
        <v>46</v>
      </c>
      <c r="B20" s="120">
        <f>2+1</f>
        <v>3</v>
      </c>
      <c r="C20" s="121">
        <f t="shared" si="0"/>
        <v>3.6585365853658538</v>
      </c>
      <c r="D20" s="120">
        <f>3+3+1</f>
        <v>7</v>
      </c>
      <c r="E20" s="121">
        <f t="shared" si="1"/>
        <v>8.9743589743589745</v>
      </c>
      <c r="F20" s="120">
        <f t="shared" si="2"/>
        <v>10</v>
      </c>
      <c r="G20" s="121">
        <f t="shared" si="3"/>
        <v>6.25</v>
      </c>
    </row>
    <row r="21" spans="1:10" s="20" customFormat="1" x14ac:dyDescent="0.25">
      <c r="A21" s="113" t="s">
        <v>87</v>
      </c>
      <c r="B21" s="25">
        <f>SUM(B8:B20)</f>
        <v>258</v>
      </c>
      <c r="C21" s="25"/>
      <c r="D21" s="25">
        <f>SUM(D8:D20)</f>
        <v>239</v>
      </c>
      <c r="E21" s="25"/>
      <c r="F21" s="25">
        <f>SUM(F8:F20)</f>
        <v>497</v>
      </c>
      <c r="G21" s="25"/>
    </row>
    <row r="22" spans="1:10" s="20" customFormat="1" x14ac:dyDescent="0.25">
      <c r="A22" s="25"/>
    </row>
    <row r="23" spans="1:10" s="20" customFormat="1" x14ac:dyDescent="0.25">
      <c r="A23" s="25"/>
    </row>
    <row r="24" spans="1:10" s="20" customFormat="1" ht="61.5" customHeight="1" x14ac:dyDescent="0.25">
      <c r="A24" s="229" t="s">
        <v>132</v>
      </c>
      <c r="B24" s="229"/>
      <c r="C24" s="229"/>
      <c r="D24" s="229"/>
      <c r="E24" s="229"/>
      <c r="F24" s="229"/>
      <c r="G24" s="229"/>
      <c r="H24" s="19"/>
      <c r="I24" s="19"/>
      <c r="J24" s="19"/>
    </row>
    <row r="25" spans="1:10" s="20" customFormat="1" ht="13.8" thickBot="1" x14ac:dyDescent="0.3"/>
    <row r="26" spans="1:10" s="20" customFormat="1" ht="36" customHeight="1" thickBot="1" x14ac:dyDescent="0.3">
      <c r="A26" s="226" t="s">
        <v>163</v>
      </c>
      <c r="B26" s="227"/>
      <c r="C26" s="227"/>
      <c r="D26" s="227"/>
      <c r="E26" s="227"/>
      <c r="F26" s="227"/>
      <c r="G26" s="228"/>
    </row>
    <row r="27" spans="1:10" s="20" customFormat="1" x14ac:dyDescent="0.25">
      <c r="A27" s="16"/>
      <c r="B27" s="16"/>
      <c r="C27" s="16"/>
    </row>
    <row r="28" spans="1:10" s="20" customFormat="1" x14ac:dyDescent="0.25">
      <c r="A28" s="108"/>
      <c r="B28" s="29" t="s">
        <v>84</v>
      </c>
      <c r="C28" s="18">
        <v>176</v>
      </c>
      <c r="D28" s="29" t="s">
        <v>84</v>
      </c>
      <c r="E28" s="30">
        <v>306</v>
      </c>
      <c r="F28" s="29" t="s">
        <v>84</v>
      </c>
      <c r="G28" s="30">
        <f>C28+E28</f>
        <v>482</v>
      </c>
    </row>
    <row r="29" spans="1:10" s="20" customFormat="1" x14ac:dyDescent="0.25">
      <c r="A29" s="108"/>
      <c r="B29" s="225" t="s">
        <v>82</v>
      </c>
      <c r="C29" s="225"/>
      <c r="D29" s="225" t="s">
        <v>83</v>
      </c>
      <c r="E29" s="225"/>
      <c r="F29" s="238" t="s">
        <v>85</v>
      </c>
      <c r="G29" s="238"/>
    </row>
    <row r="30" spans="1:10" s="20" customFormat="1" ht="13.8" thickBot="1" x14ac:dyDescent="0.3">
      <c r="A30" s="109" t="s">
        <v>88</v>
      </c>
      <c r="B30" s="98" t="s">
        <v>75</v>
      </c>
      <c r="C30" s="98" t="s">
        <v>26</v>
      </c>
      <c r="D30" s="98" t="s">
        <v>75</v>
      </c>
      <c r="E30" s="98" t="s">
        <v>26</v>
      </c>
      <c r="F30" s="97" t="s">
        <v>75</v>
      </c>
      <c r="G30" s="97" t="s">
        <v>26</v>
      </c>
    </row>
    <row r="31" spans="1:10" s="20" customFormat="1" x14ac:dyDescent="0.25">
      <c r="A31" s="110" t="s">
        <v>50</v>
      </c>
      <c r="B31" s="23">
        <f>12+34+40</f>
        <v>86</v>
      </c>
      <c r="C31" s="24">
        <f>B31*100/$C$28</f>
        <v>48.863636363636367</v>
      </c>
      <c r="D31" s="23">
        <f>51+48+21+9</f>
        <v>129</v>
      </c>
      <c r="E31" s="24">
        <f>D31*100/$E$28</f>
        <v>42.156862745098039</v>
      </c>
      <c r="F31" s="23">
        <f>B31+D31</f>
        <v>215</v>
      </c>
      <c r="G31" s="24">
        <f>F31*100/$G$28</f>
        <v>44.605809128630703</v>
      </c>
    </row>
    <row r="32" spans="1:10" s="20" customFormat="1" x14ac:dyDescent="0.25">
      <c r="A32" s="111" t="s">
        <v>58</v>
      </c>
      <c r="B32" s="94">
        <f>7+35+30</f>
        <v>72</v>
      </c>
      <c r="C32" s="92">
        <f t="shared" ref="C32:C43" si="4">B32*100/$C$28</f>
        <v>40.909090909090907</v>
      </c>
      <c r="D32" s="94">
        <f>42+37+8+6</f>
        <v>93</v>
      </c>
      <c r="E32" s="92">
        <f t="shared" ref="E32:E43" si="5">D32*100/$E$28</f>
        <v>30.392156862745097</v>
      </c>
      <c r="F32" s="94">
        <f t="shared" ref="F32:F43" si="6">B32+D32</f>
        <v>165</v>
      </c>
      <c r="G32" s="92">
        <f t="shared" ref="G32:G43" si="7">F32*100/$G$28</f>
        <v>34.232365145228215</v>
      </c>
    </row>
    <row r="33" spans="1:10" s="20" customFormat="1" x14ac:dyDescent="0.25">
      <c r="A33" s="111" t="s">
        <v>53</v>
      </c>
      <c r="B33" s="94">
        <f>3+24+18</f>
        <v>45</v>
      </c>
      <c r="C33" s="92">
        <f t="shared" si="4"/>
        <v>25.568181818181817</v>
      </c>
      <c r="D33" s="94">
        <f>40+28+17+9</f>
        <v>94</v>
      </c>
      <c r="E33" s="92">
        <f t="shared" si="5"/>
        <v>30.718954248366014</v>
      </c>
      <c r="F33" s="94">
        <f t="shared" si="6"/>
        <v>139</v>
      </c>
      <c r="G33" s="92">
        <f t="shared" si="7"/>
        <v>28.838174273858922</v>
      </c>
    </row>
    <row r="34" spans="1:10" s="20" customFormat="1" x14ac:dyDescent="0.25">
      <c r="A34" s="111" t="s">
        <v>52</v>
      </c>
      <c r="B34" s="94">
        <f>2+15+18</f>
        <v>35</v>
      </c>
      <c r="C34" s="92">
        <f t="shared" si="4"/>
        <v>19.886363636363637</v>
      </c>
      <c r="D34" s="94">
        <f>19+25+16+5</f>
        <v>65</v>
      </c>
      <c r="E34" s="92">
        <f t="shared" si="5"/>
        <v>21.241830065359476</v>
      </c>
      <c r="F34" s="94">
        <f t="shared" si="6"/>
        <v>100</v>
      </c>
      <c r="G34" s="92">
        <f t="shared" si="7"/>
        <v>20.74688796680498</v>
      </c>
    </row>
    <row r="35" spans="1:10" s="20" customFormat="1" ht="26.4" x14ac:dyDescent="0.25">
      <c r="A35" s="111" t="s">
        <v>55</v>
      </c>
      <c r="B35" s="94">
        <f>5+18+8</f>
        <v>31</v>
      </c>
      <c r="C35" s="92">
        <f t="shared" si="4"/>
        <v>17.613636363636363</v>
      </c>
      <c r="D35" s="94">
        <f>18+24+13+8</f>
        <v>63</v>
      </c>
      <c r="E35" s="92">
        <f t="shared" si="5"/>
        <v>20.588235294117649</v>
      </c>
      <c r="F35" s="94">
        <f t="shared" si="6"/>
        <v>94</v>
      </c>
      <c r="G35" s="92">
        <f t="shared" si="7"/>
        <v>19.502074688796682</v>
      </c>
    </row>
    <row r="36" spans="1:10" s="20" customFormat="1" x14ac:dyDescent="0.25">
      <c r="A36" s="111" t="s">
        <v>46</v>
      </c>
      <c r="B36" s="94">
        <f>4+8+11</f>
        <v>23</v>
      </c>
      <c r="C36" s="92">
        <f t="shared" si="4"/>
        <v>13.068181818181818</v>
      </c>
      <c r="D36" s="94">
        <f>22+20+11+4</f>
        <v>57</v>
      </c>
      <c r="E36" s="92">
        <f t="shared" si="5"/>
        <v>18.627450980392158</v>
      </c>
      <c r="F36" s="94">
        <f t="shared" si="6"/>
        <v>80</v>
      </c>
      <c r="G36" s="92">
        <f t="shared" si="7"/>
        <v>16.597510373443985</v>
      </c>
    </row>
    <row r="37" spans="1:10" s="20" customFormat="1" x14ac:dyDescent="0.25">
      <c r="A37" s="111" t="s">
        <v>56</v>
      </c>
      <c r="B37" s="94">
        <f>1+11+10</f>
        <v>22</v>
      </c>
      <c r="C37" s="92">
        <f t="shared" si="4"/>
        <v>12.5</v>
      </c>
      <c r="D37" s="94">
        <f>26+19+4+5</f>
        <v>54</v>
      </c>
      <c r="E37" s="92">
        <f t="shared" si="5"/>
        <v>17.647058823529413</v>
      </c>
      <c r="F37" s="94">
        <f t="shared" si="6"/>
        <v>76</v>
      </c>
      <c r="G37" s="92">
        <f t="shared" si="7"/>
        <v>15.767634854771785</v>
      </c>
    </row>
    <row r="38" spans="1:10" s="20" customFormat="1" ht="26.4" x14ac:dyDescent="0.25">
      <c r="A38" s="111" t="s">
        <v>57</v>
      </c>
      <c r="B38" s="94">
        <f>1+3+4</f>
        <v>8</v>
      </c>
      <c r="C38" s="92">
        <f t="shared" si="4"/>
        <v>4.5454545454545459</v>
      </c>
      <c r="D38" s="94">
        <f>18+13+6+6</f>
        <v>43</v>
      </c>
      <c r="E38" s="92">
        <f t="shared" si="5"/>
        <v>14.052287581699346</v>
      </c>
      <c r="F38" s="94">
        <f t="shared" si="6"/>
        <v>51</v>
      </c>
      <c r="G38" s="92">
        <f t="shared" si="7"/>
        <v>10.580912863070539</v>
      </c>
    </row>
    <row r="39" spans="1:10" s="20" customFormat="1" x14ac:dyDescent="0.25">
      <c r="A39" s="111" t="s">
        <v>51</v>
      </c>
      <c r="B39" s="94">
        <f>4+5+4</f>
        <v>13</v>
      </c>
      <c r="C39" s="92">
        <f t="shared" si="4"/>
        <v>7.3863636363636367</v>
      </c>
      <c r="D39" s="94">
        <f>10+8+4+3</f>
        <v>25</v>
      </c>
      <c r="E39" s="92">
        <f t="shared" si="5"/>
        <v>8.1699346405228752</v>
      </c>
      <c r="F39" s="94">
        <f t="shared" si="6"/>
        <v>38</v>
      </c>
      <c r="G39" s="92">
        <f t="shared" si="7"/>
        <v>7.8838174273858925</v>
      </c>
    </row>
    <row r="40" spans="1:10" s="20" customFormat="1" x14ac:dyDescent="0.25">
      <c r="A40" s="111" t="s">
        <v>59</v>
      </c>
      <c r="B40" s="94">
        <f>7+3</f>
        <v>10</v>
      </c>
      <c r="C40" s="92">
        <f t="shared" si="4"/>
        <v>5.6818181818181817</v>
      </c>
      <c r="D40" s="94">
        <f>6+8+4+3</f>
        <v>21</v>
      </c>
      <c r="E40" s="92">
        <f t="shared" si="5"/>
        <v>6.8627450980392153</v>
      </c>
      <c r="F40" s="94">
        <f t="shared" si="6"/>
        <v>31</v>
      </c>
      <c r="G40" s="92">
        <f t="shared" si="7"/>
        <v>6.4315352697095438</v>
      </c>
    </row>
    <row r="41" spans="1:10" s="20" customFormat="1" ht="26.4" x14ac:dyDescent="0.25">
      <c r="A41" s="111" t="s">
        <v>54</v>
      </c>
      <c r="B41" s="94">
        <f>1+2+7</f>
        <v>10</v>
      </c>
      <c r="C41" s="92">
        <f t="shared" si="4"/>
        <v>5.6818181818181817</v>
      </c>
      <c r="D41" s="94">
        <f>7+10+1</f>
        <v>18</v>
      </c>
      <c r="E41" s="92">
        <f t="shared" si="5"/>
        <v>5.882352941176471</v>
      </c>
      <c r="F41" s="94">
        <f t="shared" si="6"/>
        <v>28</v>
      </c>
      <c r="G41" s="92">
        <f t="shared" si="7"/>
        <v>5.809128630705394</v>
      </c>
    </row>
    <row r="42" spans="1:10" s="20" customFormat="1" x14ac:dyDescent="0.25">
      <c r="A42" s="111" t="s">
        <v>49</v>
      </c>
      <c r="B42" s="94">
        <f>1+5+8</f>
        <v>14</v>
      </c>
      <c r="C42" s="92">
        <f t="shared" si="4"/>
        <v>7.9545454545454541</v>
      </c>
      <c r="D42" s="94">
        <f>4+3+3</f>
        <v>10</v>
      </c>
      <c r="E42" s="92">
        <f t="shared" si="5"/>
        <v>3.2679738562091503</v>
      </c>
      <c r="F42" s="94">
        <f t="shared" si="6"/>
        <v>24</v>
      </c>
      <c r="G42" s="92">
        <f t="shared" si="7"/>
        <v>4.9792531120331951</v>
      </c>
    </row>
    <row r="43" spans="1:10" s="20" customFormat="1" ht="13.8" thickBot="1" x14ac:dyDescent="0.3">
      <c r="A43" s="112" t="s">
        <v>111</v>
      </c>
      <c r="B43" s="101">
        <f>0</f>
        <v>0</v>
      </c>
      <c r="C43" s="102">
        <f t="shared" si="4"/>
        <v>0</v>
      </c>
      <c r="D43" s="101">
        <v>0</v>
      </c>
      <c r="E43" s="102">
        <f t="shared" si="5"/>
        <v>0</v>
      </c>
      <c r="F43" s="101">
        <f t="shared" si="6"/>
        <v>0</v>
      </c>
      <c r="G43" s="102">
        <f t="shared" si="7"/>
        <v>0</v>
      </c>
    </row>
    <row r="44" spans="1:10" s="20" customFormat="1" x14ac:dyDescent="0.25">
      <c r="A44" s="113" t="s">
        <v>87</v>
      </c>
      <c r="B44" s="25">
        <f>SUM(B31:B43)</f>
        <v>369</v>
      </c>
      <c r="C44" s="25"/>
      <c r="D44" s="25">
        <f>SUM(D31:D43)</f>
        <v>672</v>
      </c>
      <c r="E44" s="25"/>
      <c r="F44" s="25">
        <f>SUM(F31:F43)</f>
        <v>1041</v>
      </c>
      <c r="G44" s="25"/>
    </row>
    <row r="45" spans="1:10" s="20" customFormat="1" x14ac:dyDescent="0.25"/>
    <row r="46" spans="1:10" s="20" customFormat="1" x14ac:dyDescent="0.25"/>
    <row r="47" spans="1:10" s="20" customFormat="1" ht="61.5" customHeight="1" x14ac:dyDescent="0.25">
      <c r="A47" s="229" t="s">
        <v>132</v>
      </c>
      <c r="B47" s="229"/>
      <c r="C47" s="229"/>
      <c r="D47" s="229"/>
      <c r="E47" s="229"/>
      <c r="F47" s="229"/>
      <c r="G47" s="229"/>
      <c r="H47" s="19"/>
      <c r="I47" s="19"/>
      <c r="J47" s="19"/>
    </row>
    <row r="48" spans="1:10" s="20" customFormat="1" ht="13.8" thickBot="1" x14ac:dyDescent="0.3"/>
    <row r="49" spans="1:7" s="20" customFormat="1" ht="36" customHeight="1" thickBot="1" x14ac:dyDescent="0.3">
      <c r="A49" s="226" t="s">
        <v>61</v>
      </c>
      <c r="B49" s="227"/>
      <c r="C49" s="227"/>
      <c r="D49" s="227"/>
      <c r="E49" s="227"/>
      <c r="F49" s="227"/>
      <c r="G49" s="228"/>
    </row>
    <row r="50" spans="1:7" s="20" customFormat="1" x14ac:dyDescent="0.25">
      <c r="A50" s="16"/>
      <c r="B50" s="16"/>
      <c r="C50" s="16"/>
    </row>
    <row r="51" spans="1:7" s="20" customFormat="1" x14ac:dyDescent="0.25">
      <c r="A51" s="108"/>
      <c r="B51" s="29" t="s">
        <v>84</v>
      </c>
      <c r="C51" s="18">
        <v>91</v>
      </c>
      <c r="D51" s="29" t="s">
        <v>84</v>
      </c>
      <c r="E51" s="30">
        <v>418</v>
      </c>
      <c r="F51" s="29" t="s">
        <v>84</v>
      </c>
      <c r="G51" s="30">
        <f>C51+E51</f>
        <v>509</v>
      </c>
    </row>
    <row r="52" spans="1:7" s="20" customFormat="1" x14ac:dyDescent="0.25">
      <c r="A52" s="108"/>
      <c r="B52" s="225" t="s">
        <v>82</v>
      </c>
      <c r="C52" s="225"/>
      <c r="D52" s="225" t="s">
        <v>83</v>
      </c>
      <c r="E52" s="225"/>
      <c r="F52" s="238" t="s">
        <v>85</v>
      </c>
      <c r="G52" s="238"/>
    </row>
    <row r="53" spans="1:7" s="20" customFormat="1" ht="13.8" thickBot="1" x14ac:dyDescent="0.3">
      <c r="A53" s="109" t="s">
        <v>88</v>
      </c>
      <c r="B53" s="98" t="s">
        <v>75</v>
      </c>
      <c r="C53" s="98" t="s">
        <v>26</v>
      </c>
      <c r="D53" s="98" t="s">
        <v>75</v>
      </c>
      <c r="E53" s="98" t="s">
        <v>26</v>
      </c>
      <c r="F53" s="97" t="s">
        <v>75</v>
      </c>
      <c r="G53" s="97" t="s">
        <v>26</v>
      </c>
    </row>
    <row r="54" spans="1:7" s="20" customFormat="1" x14ac:dyDescent="0.25">
      <c r="A54" s="110" t="s">
        <v>65</v>
      </c>
      <c r="B54" s="23">
        <f>1+11+30</f>
        <v>42</v>
      </c>
      <c r="C54" s="24">
        <f>B54*100/$C$51</f>
        <v>46.153846153846153</v>
      </c>
      <c r="D54" s="23">
        <f>36+29+37+51</f>
        <v>153</v>
      </c>
      <c r="E54" s="24">
        <f>D54*100/$E$51</f>
        <v>36.602870813397132</v>
      </c>
      <c r="F54" s="23">
        <f>B54+D54</f>
        <v>195</v>
      </c>
      <c r="G54" s="24">
        <f>F54*100/$G$51</f>
        <v>38.310412573673872</v>
      </c>
    </row>
    <row r="55" spans="1:7" s="20" customFormat="1" x14ac:dyDescent="0.25">
      <c r="A55" s="111" t="s">
        <v>67</v>
      </c>
      <c r="B55" s="94">
        <f>11+20</f>
        <v>31</v>
      </c>
      <c r="C55" s="92">
        <f t="shared" ref="C55:C68" si="8">B55*100/$C$51</f>
        <v>34.065934065934066</v>
      </c>
      <c r="D55" s="94">
        <f>41+27+36+37</f>
        <v>141</v>
      </c>
      <c r="E55" s="92">
        <f t="shared" ref="E55:E68" si="9">D55*100/$E$51</f>
        <v>33.732057416267942</v>
      </c>
      <c r="F55" s="94">
        <f t="shared" ref="F55:F68" si="10">B55+D55</f>
        <v>172</v>
      </c>
      <c r="G55" s="92">
        <f t="shared" ref="G55:G68" si="11">F55*100/$G$51</f>
        <v>33.791748526522596</v>
      </c>
    </row>
    <row r="56" spans="1:7" s="20" customFormat="1" x14ac:dyDescent="0.25">
      <c r="A56" s="111" t="s">
        <v>69</v>
      </c>
      <c r="B56" s="94">
        <f>9+29</f>
        <v>38</v>
      </c>
      <c r="C56" s="92">
        <f t="shared" si="8"/>
        <v>41.758241758241759</v>
      </c>
      <c r="D56" s="94">
        <f>34+20+33+39</f>
        <v>126</v>
      </c>
      <c r="E56" s="92">
        <f t="shared" si="9"/>
        <v>30.14354066985646</v>
      </c>
      <c r="F56" s="94">
        <f t="shared" si="10"/>
        <v>164</v>
      </c>
      <c r="G56" s="92">
        <f t="shared" si="11"/>
        <v>32.220039292730846</v>
      </c>
    </row>
    <row r="57" spans="1:7" s="20" customFormat="1" x14ac:dyDescent="0.25">
      <c r="A57" s="111" t="s">
        <v>64</v>
      </c>
      <c r="B57" s="94">
        <f>1+11</f>
        <v>12</v>
      </c>
      <c r="C57" s="92">
        <f t="shared" si="8"/>
        <v>13.186813186813186</v>
      </c>
      <c r="D57" s="94">
        <f>13+33+32+49</f>
        <v>127</v>
      </c>
      <c r="E57" s="92">
        <f t="shared" si="9"/>
        <v>30.382775119617225</v>
      </c>
      <c r="F57" s="94">
        <f t="shared" si="10"/>
        <v>139</v>
      </c>
      <c r="G57" s="92">
        <f t="shared" si="11"/>
        <v>27.308447937131632</v>
      </c>
    </row>
    <row r="58" spans="1:7" s="20" customFormat="1" x14ac:dyDescent="0.25">
      <c r="A58" s="111" t="s">
        <v>46</v>
      </c>
      <c r="B58" s="94">
        <f>8+22</f>
        <v>30</v>
      </c>
      <c r="C58" s="92">
        <f t="shared" si="8"/>
        <v>32.967032967032964</v>
      </c>
      <c r="D58" s="94">
        <f>18+8+12+27</f>
        <v>65</v>
      </c>
      <c r="E58" s="92">
        <f t="shared" si="9"/>
        <v>15.55023923444976</v>
      </c>
      <c r="F58" s="94">
        <f t="shared" si="10"/>
        <v>95</v>
      </c>
      <c r="G58" s="92">
        <f t="shared" si="11"/>
        <v>18.664047151277014</v>
      </c>
    </row>
    <row r="59" spans="1:7" s="20" customFormat="1" x14ac:dyDescent="0.25">
      <c r="A59" s="111" t="s">
        <v>66</v>
      </c>
      <c r="B59" s="94">
        <f>5+15</f>
        <v>20</v>
      </c>
      <c r="C59" s="92">
        <f t="shared" si="8"/>
        <v>21.978021978021978</v>
      </c>
      <c r="D59" s="94">
        <f>18+18+19+18</f>
        <v>73</v>
      </c>
      <c r="E59" s="92">
        <f t="shared" si="9"/>
        <v>17.464114832535884</v>
      </c>
      <c r="F59" s="94">
        <f t="shared" si="10"/>
        <v>93</v>
      </c>
      <c r="G59" s="92">
        <f t="shared" si="11"/>
        <v>18.271119842829076</v>
      </c>
    </row>
    <row r="60" spans="1:7" s="20" customFormat="1" x14ac:dyDescent="0.25">
      <c r="A60" s="111" t="s">
        <v>63</v>
      </c>
      <c r="B60" s="94">
        <f>2+8+21</f>
        <v>31</v>
      </c>
      <c r="C60" s="92">
        <f t="shared" si="8"/>
        <v>34.065934065934066</v>
      </c>
      <c r="D60" s="94">
        <f>12+18+14+16</f>
        <v>60</v>
      </c>
      <c r="E60" s="92">
        <f t="shared" si="9"/>
        <v>14.354066985645932</v>
      </c>
      <c r="F60" s="94">
        <f t="shared" si="10"/>
        <v>91</v>
      </c>
      <c r="G60" s="92">
        <f t="shared" si="11"/>
        <v>17.878192534381139</v>
      </c>
    </row>
    <row r="61" spans="1:7" s="20" customFormat="1" x14ac:dyDescent="0.25">
      <c r="A61" s="111" t="s">
        <v>62</v>
      </c>
      <c r="B61" s="94">
        <f>2+9</f>
        <v>11</v>
      </c>
      <c r="C61" s="92">
        <f t="shared" si="8"/>
        <v>12.087912087912088</v>
      </c>
      <c r="D61" s="94">
        <f>15+9+18+19</f>
        <v>61</v>
      </c>
      <c r="E61" s="92">
        <f t="shared" si="9"/>
        <v>14.593301435406699</v>
      </c>
      <c r="F61" s="94">
        <f t="shared" si="10"/>
        <v>72</v>
      </c>
      <c r="G61" s="92">
        <f t="shared" si="11"/>
        <v>14.145383104125736</v>
      </c>
    </row>
    <row r="62" spans="1:7" s="20" customFormat="1" x14ac:dyDescent="0.25">
      <c r="A62" s="111" t="s">
        <v>71</v>
      </c>
      <c r="B62" s="94">
        <f>1+6+7</f>
        <v>14</v>
      </c>
      <c r="C62" s="92">
        <f t="shared" si="8"/>
        <v>15.384615384615385</v>
      </c>
      <c r="D62" s="94">
        <f>12+8+15+18</f>
        <v>53</v>
      </c>
      <c r="E62" s="92">
        <f t="shared" si="9"/>
        <v>12.679425837320574</v>
      </c>
      <c r="F62" s="94">
        <f t="shared" si="10"/>
        <v>67</v>
      </c>
      <c r="G62" s="92">
        <f t="shared" si="11"/>
        <v>13.163064833005894</v>
      </c>
    </row>
    <row r="63" spans="1:7" s="20" customFormat="1" x14ac:dyDescent="0.25">
      <c r="A63" s="111" t="s">
        <v>72</v>
      </c>
      <c r="B63" s="94">
        <f>1+11+8</f>
        <v>20</v>
      </c>
      <c r="C63" s="92">
        <f t="shared" si="8"/>
        <v>21.978021978021978</v>
      </c>
      <c r="D63" s="94">
        <f>11+8+12+13</f>
        <v>44</v>
      </c>
      <c r="E63" s="92">
        <f t="shared" si="9"/>
        <v>10.526315789473685</v>
      </c>
      <c r="F63" s="94">
        <f t="shared" si="10"/>
        <v>64</v>
      </c>
      <c r="G63" s="92">
        <f t="shared" si="11"/>
        <v>12.573673870333987</v>
      </c>
    </row>
    <row r="64" spans="1:7" s="20" customFormat="1" x14ac:dyDescent="0.25">
      <c r="A64" s="111" t="s">
        <v>68</v>
      </c>
      <c r="B64" s="94">
        <f>3+14</f>
        <v>17</v>
      </c>
      <c r="C64" s="92">
        <f t="shared" si="8"/>
        <v>18.681318681318682</v>
      </c>
      <c r="D64" s="94">
        <f>3+7+12+13</f>
        <v>35</v>
      </c>
      <c r="E64" s="92">
        <f t="shared" si="9"/>
        <v>8.3732057416267942</v>
      </c>
      <c r="F64" s="94">
        <f t="shared" si="10"/>
        <v>52</v>
      </c>
      <c r="G64" s="92">
        <f t="shared" si="11"/>
        <v>10.216110019646365</v>
      </c>
    </row>
    <row r="65" spans="1:7" s="20" customFormat="1" ht="26.4" x14ac:dyDescent="0.25">
      <c r="A65" s="111" t="s">
        <v>81</v>
      </c>
      <c r="B65" s="94">
        <f>2</f>
        <v>2</v>
      </c>
      <c r="C65" s="92">
        <f t="shared" si="8"/>
        <v>2.197802197802198</v>
      </c>
      <c r="D65" s="94">
        <f>8+8+5+15</f>
        <v>36</v>
      </c>
      <c r="E65" s="92">
        <f t="shared" si="9"/>
        <v>8.6124401913875595</v>
      </c>
      <c r="F65" s="94">
        <f t="shared" si="10"/>
        <v>38</v>
      </c>
      <c r="G65" s="92">
        <f t="shared" si="11"/>
        <v>7.4656188605108058</v>
      </c>
    </row>
    <row r="66" spans="1:7" s="20" customFormat="1" x14ac:dyDescent="0.25">
      <c r="A66" s="111" t="s">
        <v>70</v>
      </c>
      <c r="B66" s="94">
        <f>1+6</f>
        <v>7</v>
      </c>
      <c r="C66" s="92">
        <f t="shared" si="8"/>
        <v>7.6923076923076925</v>
      </c>
      <c r="D66" s="94">
        <f>1+3+2+5</f>
        <v>11</v>
      </c>
      <c r="E66" s="92">
        <f t="shared" si="9"/>
        <v>2.6315789473684212</v>
      </c>
      <c r="F66" s="94">
        <f t="shared" si="10"/>
        <v>18</v>
      </c>
      <c r="G66" s="92">
        <f t="shared" si="11"/>
        <v>3.5363457760314341</v>
      </c>
    </row>
    <row r="67" spans="1:7" s="20" customFormat="1" x14ac:dyDescent="0.25">
      <c r="A67" s="111" t="s">
        <v>73</v>
      </c>
      <c r="B67" s="94">
        <f>2</f>
        <v>2</v>
      </c>
      <c r="C67" s="92">
        <f t="shared" si="8"/>
        <v>2.197802197802198</v>
      </c>
      <c r="D67" s="94">
        <f>2+1+2+3</f>
        <v>8</v>
      </c>
      <c r="E67" s="92">
        <f t="shared" si="9"/>
        <v>1.9138755980861244</v>
      </c>
      <c r="F67" s="94">
        <f t="shared" si="10"/>
        <v>10</v>
      </c>
      <c r="G67" s="92">
        <f t="shared" si="11"/>
        <v>1.9646365422396856</v>
      </c>
    </row>
    <row r="68" spans="1:7" s="20" customFormat="1" ht="13.8" thickBot="1" x14ac:dyDescent="0.3">
      <c r="A68" s="112" t="s">
        <v>111</v>
      </c>
      <c r="B68" s="101">
        <v>0</v>
      </c>
      <c r="C68" s="102">
        <f t="shared" si="8"/>
        <v>0</v>
      </c>
      <c r="D68" s="101">
        <v>1</v>
      </c>
      <c r="E68" s="102">
        <f t="shared" si="9"/>
        <v>0.23923444976076555</v>
      </c>
      <c r="F68" s="101">
        <f t="shared" si="10"/>
        <v>1</v>
      </c>
      <c r="G68" s="102">
        <f t="shared" si="11"/>
        <v>0.19646365422396855</v>
      </c>
    </row>
    <row r="69" spans="1:7" s="20" customFormat="1" x14ac:dyDescent="0.25">
      <c r="A69" s="113" t="s">
        <v>87</v>
      </c>
      <c r="B69" s="25">
        <f>SUM(B54:B68)</f>
        <v>277</v>
      </c>
      <c r="C69" s="25"/>
      <c r="D69" s="25">
        <f>SUM(D54:D68)</f>
        <v>994</v>
      </c>
      <c r="E69" s="25"/>
      <c r="F69" s="25">
        <f>SUM(F54:F68)</f>
        <v>1271</v>
      </c>
      <c r="G69" s="25"/>
    </row>
    <row r="70" spans="1:7" s="20" customFormat="1" x14ac:dyDescent="0.25">
      <c r="A70" s="25"/>
    </row>
    <row r="71" spans="1:7" s="20" customFormat="1" ht="61.5" customHeight="1" x14ac:dyDescent="0.25">
      <c r="A71" s="229" t="s">
        <v>132</v>
      </c>
      <c r="B71" s="229"/>
      <c r="C71" s="229"/>
      <c r="D71" s="229"/>
      <c r="E71" s="229"/>
      <c r="F71" s="229"/>
      <c r="G71" s="229"/>
    </row>
    <row r="72" spans="1:7" s="20" customFormat="1" ht="13.8" thickBot="1" x14ac:dyDescent="0.3">
      <c r="A72" s="25"/>
    </row>
    <row r="73" spans="1:7" s="20" customFormat="1" ht="36" customHeight="1" thickBot="1" x14ac:dyDescent="0.3">
      <c r="A73" s="226" t="s">
        <v>74</v>
      </c>
      <c r="B73" s="227"/>
      <c r="C73" s="227"/>
      <c r="D73" s="227"/>
      <c r="E73" s="227"/>
      <c r="F73" s="227"/>
      <c r="G73" s="228"/>
    </row>
    <row r="74" spans="1:7" s="20" customFormat="1" x14ac:dyDescent="0.25">
      <c r="A74" s="15"/>
      <c r="B74" s="15"/>
      <c r="C74" s="39"/>
    </row>
    <row r="75" spans="1:7" s="20" customFormat="1" x14ac:dyDescent="0.25">
      <c r="A75" s="125"/>
      <c r="B75" s="29" t="s">
        <v>84</v>
      </c>
      <c r="C75" s="18">
        <v>327</v>
      </c>
      <c r="D75" s="29" t="s">
        <v>84</v>
      </c>
      <c r="E75" s="30">
        <v>551</v>
      </c>
      <c r="F75" s="29" t="s">
        <v>84</v>
      </c>
      <c r="G75" s="30">
        <f>C75+E75</f>
        <v>878</v>
      </c>
    </row>
    <row r="76" spans="1:7" s="20" customFormat="1" x14ac:dyDescent="0.25">
      <c r="A76" s="125"/>
      <c r="B76" s="225" t="s">
        <v>82</v>
      </c>
      <c r="C76" s="225"/>
      <c r="D76" s="225" t="s">
        <v>83</v>
      </c>
      <c r="E76" s="225"/>
      <c r="F76" s="238" t="s">
        <v>85</v>
      </c>
      <c r="G76" s="238"/>
    </row>
    <row r="77" spans="1:7" s="20" customFormat="1" ht="13.8" thickBot="1" x14ac:dyDescent="0.3">
      <c r="A77" s="109" t="s">
        <v>88</v>
      </c>
      <c r="B77" s="98" t="s">
        <v>75</v>
      </c>
      <c r="C77" s="98" t="s">
        <v>26</v>
      </c>
      <c r="D77" s="98" t="s">
        <v>75</v>
      </c>
      <c r="E77" s="98" t="s">
        <v>26</v>
      </c>
      <c r="F77" s="97" t="s">
        <v>75</v>
      </c>
      <c r="G77" s="97" t="s">
        <v>26</v>
      </c>
    </row>
    <row r="78" spans="1:7" s="20" customFormat="1" x14ac:dyDescent="0.25">
      <c r="A78" s="110" t="s">
        <v>38</v>
      </c>
      <c r="B78" s="23">
        <f>69+105+81</f>
        <v>255</v>
      </c>
      <c r="C78" s="24">
        <f>B78*100/$C$75</f>
        <v>77.981651376146786</v>
      </c>
      <c r="D78" s="23">
        <f>114+104+72+145</f>
        <v>435</v>
      </c>
      <c r="E78" s="24">
        <f>D78*100/$E$75</f>
        <v>78.94736842105263</v>
      </c>
      <c r="F78" s="23">
        <f>B78+D78</f>
        <v>690</v>
      </c>
      <c r="G78" s="24">
        <f>F78*100/$G$75</f>
        <v>78.587699316628701</v>
      </c>
    </row>
    <row r="79" spans="1:7" s="20" customFormat="1" x14ac:dyDescent="0.25">
      <c r="A79" s="111" t="s">
        <v>37</v>
      </c>
      <c r="B79" s="94">
        <f>25+59+50</f>
        <v>134</v>
      </c>
      <c r="C79" s="92">
        <f t="shared" ref="C79:C90" si="12">B79*100/$C$75</f>
        <v>40.978593272171253</v>
      </c>
      <c r="D79" s="94">
        <f>69+59+40+76</f>
        <v>244</v>
      </c>
      <c r="E79" s="92">
        <f t="shared" ref="E79:E90" si="13">D79*100/$E$75</f>
        <v>44.283121597096191</v>
      </c>
      <c r="F79" s="94">
        <f t="shared" ref="F79:F90" si="14">B79+D79</f>
        <v>378</v>
      </c>
      <c r="G79" s="92">
        <f t="shared" ref="G79:G90" si="15">F79*100/$G$75</f>
        <v>43.052391799544417</v>
      </c>
    </row>
    <row r="80" spans="1:7" s="20" customFormat="1" x14ac:dyDescent="0.25">
      <c r="A80" s="111" t="s">
        <v>112</v>
      </c>
      <c r="B80" s="94">
        <f>24+32+35</f>
        <v>91</v>
      </c>
      <c r="C80" s="92">
        <f t="shared" si="12"/>
        <v>27.828746177370032</v>
      </c>
      <c r="D80" s="94">
        <f>53+53+30+76</f>
        <v>212</v>
      </c>
      <c r="E80" s="92">
        <f t="shared" si="13"/>
        <v>38.475499092558984</v>
      </c>
      <c r="F80" s="94">
        <f t="shared" si="14"/>
        <v>303</v>
      </c>
      <c r="G80" s="92">
        <f t="shared" si="15"/>
        <v>34.510250569476085</v>
      </c>
    </row>
    <row r="81" spans="1:7" s="20" customFormat="1" x14ac:dyDescent="0.25">
      <c r="A81" s="111" t="s">
        <v>41</v>
      </c>
      <c r="B81" s="94">
        <f>17+53+37</f>
        <v>107</v>
      </c>
      <c r="C81" s="92">
        <f t="shared" si="12"/>
        <v>32.721712538226299</v>
      </c>
      <c r="D81" s="94">
        <f>40+42+37+56</f>
        <v>175</v>
      </c>
      <c r="E81" s="92">
        <f t="shared" si="13"/>
        <v>31.760435571687839</v>
      </c>
      <c r="F81" s="94">
        <f t="shared" si="14"/>
        <v>282</v>
      </c>
      <c r="G81" s="92">
        <f t="shared" si="15"/>
        <v>32.118451025056949</v>
      </c>
    </row>
    <row r="82" spans="1:7" s="20" customFormat="1" x14ac:dyDescent="0.25">
      <c r="A82" s="111" t="s">
        <v>39</v>
      </c>
      <c r="B82" s="94">
        <f>16+25+31</f>
        <v>72</v>
      </c>
      <c r="C82" s="92">
        <f t="shared" si="12"/>
        <v>22.01834862385321</v>
      </c>
      <c r="D82" s="94">
        <f>46+31+17+40</f>
        <v>134</v>
      </c>
      <c r="E82" s="92">
        <f t="shared" si="13"/>
        <v>24.319419237749546</v>
      </c>
      <c r="F82" s="94">
        <f t="shared" si="14"/>
        <v>206</v>
      </c>
      <c r="G82" s="92">
        <f t="shared" si="15"/>
        <v>23.462414578587698</v>
      </c>
    </row>
    <row r="83" spans="1:7" s="20" customFormat="1" x14ac:dyDescent="0.25">
      <c r="A83" s="111" t="s">
        <v>40</v>
      </c>
      <c r="B83" s="94">
        <f>14+22+21</f>
        <v>57</v>
      </c>
      <c r="C83" s="92">
        <f t="shared" si="12"/>
        <v>17.431192660550458</v>
      </c>
      <c r="D83" s="94">
        <f>34+29+25+37</f>
        <v>125</v>
      </c>
      <c r="E83" s="92">
        <f t="shared" si="13"/>
        <v>22.686025408348456</v>
      </c>
      <c r="F83" s="94">
        <f t="shared" si="14"/>
        <v>182</v>
      </c>
      <c r="G83" s="92">
        <f t="shared" si="15"/>
        <v>20.728929384965831</v>
      </c>
    </row>
    <row r="84" spans="1:7" s="20" customFormat="1" x14ac:dyDescent="0.25">
      <c r="A84" s="111" t="s">
        <v>43</v>
      </c>
      <c r="B84" s="94">
        <f>13+29+21</f>
        <v>63</v>
      </c>
      <c r="C84" s="92">
        <f t="shared" si="12"/>
        <v>19.26605504587156</v>
      </c>
      <c r="D84" s="94">
        <f>39+17+20+36</f>
        <v>112</v>
      </c>
      <c r="E84" s="92">
        <f t="shared" si="13"/>
        <v>20.326678765880217</v>
      </c>
      <c r="F84" s="94">
        <f t="shared" si="14"/>
        <v>175</v>
      </c>
      <c r="G84" s="92">
        <f t="shared" si="15"/>
        <v>19.931662870159453</v>
      </c>
    </row>
    <row r="85" spans="1:7" s="20" customFormat="1" x14ac:dyDescent="0.25">
      <c r="A85" s="111" t="s">
        <v>45</v>
      </c>
      <c r="B85" s="94">
        <f>14+22+31</f>
        <v>67</v>
      </c>
      <c r="C85" s="92">
        <f t="shared" si="12"/>
        <v>20.489296636085626</v>
      </c>
      <c r="D85" s="94">
        <f>35+30+12+25</f>
        <v>102</v>
      </c>
      <c r="E85" s="92">
        <f t="shared" si="13"/>
        <v>18.511796733212343</v>
      </c>
      <c r="F85" s="94">
        <f t="shared" si="14"/>
        <v>169</v>
      </c>
      <c r="G85" s="92">
        <f t="shared" si="15"/>
        <v>19.248291571753985</v>
      </c>
    </row>
    <row r="86" spans="1:7" s="20" customFormat="1" ht="26.4" x14ac:dyDescent="0.25">
      <c r="A86" s="111" t="s">
        <v>80</v>
      </c>
      <c r="B86" s="94">
        <f>11+16+20</f>
        <v>47</v>
      </c>
      <c r="C86" s="92">
        <f t="shared" si="12"/>
        <v>14.37308868501529</v>
      </c>
      <c r="D86" s="94">
        <f>31+30+13+30</f>
        <v>104</v>
      </c>
      <c r="E86" s="92">
        <f t="shared" si="13"/>
        <v>18.874773139745916</v>
      </c>
      <c r="F86" s="94">
        <f t="shared" si="14"/>
        <v>151</v>
      </c>
      <c r="G86" s="92">
        <f t="shared" si="15"/>
        <v>17.198177676537586</v>
      </c>
    </row>
    <row r="87" spans="1:7" s="20" customFormat="1" x14ac:dyDescent="0.25">
      <c r="A87" s="111" t="s">
        <v>44</v>
      </c>
      <c r="B87" s="94">
        <f>21+18+23</f>
        <v>62</v>
      </c>
      <c r="C87" s="92">
        <f t="shared" si="12"/>
        <v>18.960244648318042</v>
      </c>
      <c r="D87" s="94">
        <f>26+12+15+30</f>
        <v>83</v>
      </c>
      <c r="E87" s="92">
        <f t="shared" si="13"/>
        <v>15.063520871143377</v>
      </c>
      <c r="F87" s="94">
        <f t="shared" si="14"/>
        <v>145</v>
      </c>
      <c r="G87" s="92">
        <f t="shared" si="15"/>
        <v>16.514806378132118</v>
      </c>
    </row>
    <row r="88" spans="1:7" s="20" customFormat="1" x14ac:dyDescent="0.25">
      <c r="A88" s="111" t="s">
        <v>42</v>
      </c>
      <c r="B88" s="94">
        <f>9+14+21</f>
        <v>44</v>
      </c>
      <c r="C88" s="92">
        <f t="shared" si="12"/>
        <v>13.455657492354741</v>
      </c>
      <c r="D88" s="94">
        <f>29+24+12+29</f>
        <v>94</v>
      </c>
      <c r="E88" s="92">
        <f t="shared" si="13"/>
        <v>17.059891107078041</v>
      </c>
      <c r="F88" s="94">
        <f t="shared" si="14"/>
        <v>138</v>
      </c>
      <c r="G88" s="92">
        <f t="shared" si="15"/>
        <v>15.71753986332574</v>
      </c>
    </row>
    <row r="89" spans="1:7" s="20" customFormat="1" x14ac:dyDescent="0.25">
      <c r="A89" s="111" t="s">
        <v>46</v>
      </c>
      <c r="B89" s="94">
        <f>12+13+12</f>
        <v>37</v>
      </c>
      <c r="C89" s="92">
        <f t="shared" si="12"/>
        <v>11.314984709480122</v>
      </c>
      <c r="D89" s="94">
        <f>10+8+7+15</f>
        <v>40</v>
      </c>
      <c r="E89" s="92">
        <f t="shared" si="13"/>
        <v>7.259528130671506</v>
      </c>
      <c r="F89" s="94">
        <f t="shared" si="14"/>
        <v>77</v>
      </c>
      <c r="G89" s="92">
        <f t="shared" si="15"/>
        <v>8.7699316628701602</v>
      </c>
    </row>
    <row r="90" spans="1:7" s="20" customFormat="1" ht="13.8" thickBot="1" x14ac:dyDescent="0.3">
      <c r="A90" s="112" t="s">
        <v>111</v>
      </c>
      <c r="B90" s="101">
        <f>3+8+2</f>
        <v>13</v>
      </c>
      <c r="C90" s="102">
        <f t="shared" si="12"/>
        <v>3.9755351681957185</v>
      </c>
      <c r="D90" s="101">
        <f>3+3+8+6</f>
        <v>20</v>
      </c>
      <c r="E90" s="102">
        <f t="shared" si="13"/>
        <v>3.629764065335753</v>
      </c>
      <c r="F90" s="101">
        <f t="shared" si="14"/>
        <v>33</v>
      </c>
      <c r="G90" s="102">
        <f t="shared" si="15"/>
        <v>3.7585421412300684</v>
      </c>
    </row>
    <row r="91" spans="1:7" s="20" customFormat="1" x14ac:dyDescent="0.25">
      <c r="A91" s="113" t="s">
        <v>87</v>
      </c>
      <c r="B91" s="25">
        <f>SUM(B78:B90)</f>
        <v>1049</v>
      </c>
      <c r="C91" s="25"/>
      <c r="D91" s="25">
        <f>SUM(D78:D90)</f>
        <v>1880</v>
      </c>
      <c r="E91" s="25"/>
      <c r="F91" s="25">
        <f>SUM(F78:F90)</f>
        <v>2929</v>
      </c>
      <c r="G91" s="25"/>
    </row>
  </sheetData>
  <mergeCells count="20">
    <mergeCell ref="A1:G1"/>
    <mergeCell ref="A3:G3"/>
    <mergeCell ref="A49:G49"/>
    <mergeCell ref="A47:G47"/>
    <mergeCell ref="D6:E6"/>
    <mergeCell ref="B29:C29"/>
    <mergeCell ref="D29:E29"/>
    <mergeCell ref="F6:G6"/>
    <mergeCell ref="F29:G29"/>
    <mergeCell ref="A26:G26"/>
    <mergeCell ref="B76:C76"/>
    <mergeCell ref="D76:E76"/>
    <mergeCell ref="F76:G76"/>
    <mergeCell ref="A73:G73"/>
    <mergeCell ref="A24:G24"/>
    <mergeCell ref="B6:C6"/>
    <mergeCell ref="D52:E52"/>
    <mergeCell ref="F52:G52"/>
    <mergeCell ref="A71:G71"/>
    <mergeCell ref="B52:C52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3" manualBreakCount="3">
    <brk id="23" max="16383" man="1"/>
    <brk id="46" max="16383" man="1"/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I4" sqref="I3:I4"/>
    </sheetView>
  </sheetViews>
  <sheetFormatPr baseColWidth="10" defaultRowHeight="13.2" x14ac:dyDescent="0.25"/>
  <cols>
    <col min="1" max="1" width="56.6640625" customWidth="1"/>
    <col min="2" max="2" width="7.5546875" bestFit="1" customWidth="1"/>
    <col min="3" max="3" width="8" bestFit="1" customWidth="1"/>
    <col min="4" max="4" width="7.5546875" bestFit="1" customWidth="1"/>
    <col min="5" max="5" width="8" bestFit="1" customWidth="1"/>
    <col min="6" max="6" width="7.5546875" bestFit="1" customWidth="1"/>
    <col min="7" max="7" width="8" bestFit="1" customWidth="1"/>
    <col min="8" max="8" width="15.33203125" bestFit="1" customWidth="1"/>
  </cols>
  <sheetData>
    <row r="1" spans="1:11" s="20" customFormat="1" ht="61.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19"/>
      <c r="I1" s="19"/>
      <c r="J1" s="19"/>
      <c r="K1" s="19"/>
    </row>
    <row r="2" spans="1:11" s="20" customFormat="1" ht="13.8" thickBot="1" x14ac:dyDescent="0.3"/>
    <row r="3" spans="1:11" s="27" customFormat="1" ht="54" customHeight="1" thickBot="1" x14ac:dyDescent="0.3">
      <c r="A3" s="226" t="s">
        <v>110</v>
      </c>
      <c r="B3" s="227"/>
      <c r="C3" s="227"/>
      <c r="D3" s="227"/>
      <c r="E3" s="227"/>
      <c r="F3" s="227"/>
      <c r="G3" s="228"/>
      <c r="H3" s="38"/>
      <c r="I3" s="38"/>
      <c r="J3" s="38"/>
      <c r="K3" s="38"/>
    </row>
    <row r="4" spans="1:11" s="27" customFormat="1" ht="15.6" x14ac:dyDescent="0.25">
      <c r="A4" s="143"/>
      <c r="B4" s="143"/>
      <c r="C4" s="143"/>
      <c r="D4" s="143"/>
      <c r="E4" s="143"/>
      <c r="F4" s="143"/>
      <c r="G4" s="143"/>
      <c r="H4" s="38"/>
      <c r="I4" s="38"/>
      <c r="J4" s="38"/>
      <c r="K4" s="38"/>
    </row>
    <row r="5" spans="1:11" s="28" customFormat="1" x14ac:dyDescent="0.25">
      <c r="A5" s="16"/>
      <c r="B5" s="16"/>
      <c r="H5" s="144" t="s">
        <v>124</v>
      </c>
    </row>
    <row r="6" spans="1:11" s="28" customFormat="1" x14ac:dyDescent="0.25">
      <c r="A6" s="108"/>
      <c r="B6" s="29" t="s">
        <v>84</v>
      </c>
      <c r="C6" s="18">
        <v>82</v>
      </c>
      <c r="D6" s="29" t="s">
        <v>84</v>
      </c>
      <c r="E6" s="30">
        <v>78</v>
      </c>
      <c r="F6" s="29" t="s">
        <v>84</v>
      </c>
      <c r="G6" s="30">
        <f>C6+E6</f>
        <v>160</v>
      </c>
      <c r="H6" s="145" t="s">
        <v>119</v>
      </c>
    </row>
    <row r="7" spans="1:11" s="28" customFormat="1" x14ac:dyDescent="0.25">
      <c r="A7" s="108"/>
      <c r="B7" s="225" t="s">
        <v>82</v>
      </c>
      <c r="C7" s="225"/>
      <c r="D7" s="225" t="s">
        <v>83</v>
      </c>
      <c r="E7" s="225"/>
      <c r="F7" s="238" t="s">
        <v>85</v>
      </c>
      <c r="G7" s="238"/>
      <c r="H7" s="146" t="s">
        <v>120</v>
      </c>
    </row>
    <row r="8" spans="1:11" s="20" customFormat="1" ht="13.8" thickBot="1" x14ac:dyDescent="0.3">
      <c r="A8" s="109" t="s">
        <v>88</v>
      </c>
      <c r="B8" s="98" t="s">
        <v>75</v>
      </c>
      <c r="C8" s="98" t="s">
        <v>26</v>
      </c>
      <c r="D8" s="98" t="s">
        <v>75</v>
      </c>
      <c r="E8" s="98" t="s">
        <v>26</v>
      </c>
      <c r="F8" s="97" t="s">
        <v>75</v>
      </c>
      <c r="G8" s="97" t="s">
        <v>26</v>
      </c>
      <c r="H8" s="147" t="s">
        <v>122</v>
      </c>
    </row>
    <row r="9" spans="1:11" s="20" customFormat="1" x14ac:dyDescent="0.25">
      <c r="A9" s="122" t="s">
        <v>38</v>
      </c>
      <c r="B9" s="20">
        <f>2+34+23</f>
        <v>59</v>
      </c>
      <c r="C9" s="22">
        <f t="shared" ref="C9:C21" si="0">B9*100/$C$6</f>
        <v>71.951219512195124</v>
      </c>
      <c r="D9" s="20">
        <f>21+23+7+6</f>
        <v>57</v>
      </c>
      <c r="E9" s="22">
        <f t="shared" ref="E9:E21" si="1">D9*100/$E$6</f>
        <v>73.07692307692308</v>
      </c>
      <c r="F9" s="20">
        <f t="shared" ref="F9:F21" si="2">B9+D9</f>
        <v>116</v>
      </c>
      <c r="G9" s="22">
        <f t="shared" ref="G9:G21" si="3">F9*100/$G$6</f>
        <v>72.5</v>
      </c>
      <c r="H9" s="165">
        <f t="shared" ref="H9:H21" si="4">C9-E9</f>
        <v>-1.1257035647279565</v>
      </c>
    </row>
    <row r="10" spans="1:11" s="20" customFormat="1" x14ac:dyDescent="0.25">
      <c r="A10" s="122" t="s">
        <v>112</v>
      </c>
      <c r="B10" s="20">
        <f>21+9</f>
        <v>30</v>
      </c>
      <c r="C10" s="22">
        <f t="shared" si="0"/>
        <v>36.585365853658537</v>
      </c>
      <c r="D10" s="20">
        <f>9+15+7+2</f>
        <v>33</v>
      </c>
      <c r="E10" s="22">
        <f t="shared" si="1"/>
        <v>42.307692307692307</v>
      </c>
      <c r="F10" s="20">
        <f t="shared" si="2"/>
        <v>63</v>
      </c>
      <c r="G10" s="22">
        <f t="shared" si="3"/>
        <v>39.375</v>
      </c>
      <c r="H10" s="167">
        <f t="shared" si="4"/>
        <v>-5.7223264540337695</v>
      </c>
    </row>
    <row r="11" spans="1:11" s="20" customFormat="1" x14ac:dyDescent="0.25">
      <c r="A11" s="123" t="s">
        <v>40</v>
      </c>
      <c r="B11" s="32">
        <f>2+20+13</f>
        <v>35</v>
      </c>
      <c r="C11" s="33">
        <f t="shared" si="0"/>
        <v>42.68292682926829</v>
      </c>
      <c r="D11" s="32">
        <f>7+9+5+4</f>
        <v>25</v>
      </c>
      <c r="E11" s="33">
        <f t="shared" si="1"/>
        <v>32.051282051282051</v>
      </c>
      <c r="F11" s="32">
        <f t="shared" si="2"/>
        <v>60</v>
      </c>
      <c r="G11" s="33">
        <f t="shared" si="3"/>
        <v>37.5</v>
      </c>
      <c r="H11" s="167">
        <f t="shared" si="4"/>
        <v>10.631644777986239</v>
      </c>
    </row>
    <row r="12" spans="1:11" s="20" customFormat="1" x14ac:dyDescent="0.25">
      <c r="A12" s="123" t="s">
        <v>41</v>
      </c>
      <c r="B12" s="32">
        <f>1+15+7</f>
        <v>23</v>
      </c>
      <c r="C12" s="33">
        <f t="shared" si="0"/>
        <v>28.048780487804876</v>
      </c>
      <c r="D12" s="32">
        <f>6+10+2+1</f>
        <v>19</v>
      </c>
      <c r="E12" s="33">
        <f t="shared" si="1"/>
        <v>24.358974358974358</v>
      </c>
      <c r="F12" s="32">
        <f t="shared" si="2"/>
        <v>42</v>
      </c>
      <c r="G12" s="33">
        <f t="shared" si="3"/>
        <v>26.25</v>
      </c>
      <c r="H12" s="166">
        <f t="shared" si="4"/>
        <v>3.6898061288305186</v>
      </c>
    </row>
    <row r="13" spans="1:11" s="20" customFormat="1" x14ac:dyDescent="0.25">
      <c r="A13" s="123" t="s">
        <v>37</v>
      </c>
      <c r="B13" s="32">
        <f>1+7+10</f>
        <v>18</v>
      </c>
      <c r="C13" s="33">
        <f t="shared" si="0"/>
        <v>21.951219512195124</v>
      </c>
      <c r="D13" s="32">
        <f>5+5+5+3</f>
        <v>18</v>
      </c>
      <c r="E13" s="33">
        <f t="shared" si="1"/>
        <v>23.076923076923077</v>
      </c>
      <c r="F13" s="32">
        <f t="shared" si="2"/>
        <v>36</v>
      </c>
      <c r="G13" s="33">
        <f t="shared" si="3"/>
        <v>22.5</v>
      </c>
      <c r="H13" s="166">
        <f t="shared" si="4"/>
        <v>-1.125703564727953</v>
      </c>
    </row>
    <row r="14" spans="1:11" s="20" customFormat="1" x14ac:dyDescent="0.25">
      <c r="A14" s="123" t="s">
        <v>39</v>
      </c>
      <c r="B14" s="32">
        <f>0+11+4</f>
        <v>15</v>
      </c>
      <c r="C14" s="33">
        <f t="shared" si="0"/>
        <v>18.292682926829269</v>
      </c>
      <c r="D14" s="32">
        <f>6+9+2+4</f>
        <v>21</v>
      </c>
      <c r="E14" s="33">
        <f t="shared" si="1"/>
        <v>26.923076923076923</v>
      </c>
      <c r="F14" s="32">
        <f t="shared" si="2"/>
        <v>36</v>
      </c>
      <c r="G14" s="33">
        <f t="shared" si="3"/>
        <v>22.5</v>
      </c>
      <c r="H14" s="167">
        <f t="shared" si="4"/>
        <v>-8.6303939962476548</v>
      </c>
    </row>
    <row r="15" spans="1:11" s="20" customFormat="1" ht="12.75" customHeight="1" x14ac:dyDescent="0.25">
      <c r="A15" s="123" t="s">
        <v>45</v>
      </c>
      <c r="B15" s="32">
        <f>0+8+5</f>
        <v>13</v>
      </c>
      <c r="C15" s="33">
        <f t="shared" si="0"/>
        <v>15.853658536585366</v>
      </c>
      <c r="D15" s="32">
        <f>3+8+2</f>
        <v>13</v>
      </c>
      <c r="E15" s="33">
        <f t="shared" si="1"/>
        <v>16.666666666666668</v>
      </c>
      <c r="F15" s="32">
        <f t="shared" si="2"/>
        <v>26</v>
      </c>
      <c r="G15" s="33">
        <f t="shared" si="3"/>
        <v>16.25</v>
      </c>
      <c r="H15" s="166">
        <f t="shared" si="4"/>
        <v>-0.81300813008130213</v>
      </c>
    </row>
    <row r="16" spans="1:11" s="20" customFormat="1" x14ac:dyDescent="0.25">
      <c r="A16" s="123" t="s">
        <v>43</v>
      </c>
      <c r="B16" s="32">
        <f>8+6</f>
        <v>14</v>
      </c>
      <c r="C16" s="33">
        <f t="shared" si="0"/>
        <v>17.073170731707318</v>
      </c>
      <c r="D16" s="32">
        <f>5+4+1+2</f>
        <v>12</v>
      </c>
      <c r="E16" s="33">
        <f t="shared" si="1"/>
        <v>15.384615384615385</v>
      </c>
      <c r="F16" s="32">
        <f t="shared" si="2"/>
        <v>26</v>
      </c>
      <c r="G16" s="33">
        <f t="shared" si="3"/>
        <v>16.25</v>
      </c>
      <c r="H16" s="166">
        <f t="shared" si="4"/>
        <v>1.688555347091933</v>
      </c>
    </row>
    <row r="17" spans="1:11" s="20" customFormat="1" x14ac:dyDescent="0.25">
      <c r="A17" s="123" t="s">
        <v>44</v>
      </c>
      <c r="B17" s="32">
        <f>1+10+4</f>
        <v>15</v>
      </c>
      <c r="C17" s="33">
        <f t="shared" si="0"/>
        <v>18.292682926829269</v>
      </c>
      <c r="D17" s="32">
        <f>3+4</f>
        <v>7</v>
      </c>
      <c r="E17" s="33">
        <f t="shared" si="1"/>
        <v>8.9743589743589745</v>
      </c>
      <c r="F17" s="32">
        <f t="shared" si="2"/>
        <v>22</v>
      </c>
      <c r="G17" s="33">
        <f t="shared" si="3"/>
        <v>13.75</v>
      </c>
      <c r="H17" s="167">
        <f t="shared" si="4"/>
        <v>9.3183239524702941</v>
      </c>
    </row>
    <row r="18" spans="1:11" s="20" customFormat="1" ht="26.4" x14ac:dyDescent="0.25">
      <c r="A18" s="123" t="s">
        <v>109</v>
      </c>
      <c r="B18" s="32">
        <f>8+4</f>
        <v>12</v>
      </c>
      <c r="C18" s="33">
        <f t="shared" si="0"/>
        <v>14.634146341463415</v>
      </c>
      <c r="D18" s="32">
        <f>5+3+1</f>
        <v>9</v>
      </c>
      <c r="E18" s="33">
        <f t="shared" si="1"/>
        <v>11.538461538461538</v>
      </c>
      <c r="F18" s="32">
        <f t="shared" si="2"/>
        <v>21</v>
      </c>
      <c r="G18" s="33">
        <f t="shared" si="3"/>
        <v>13.125</v>
      </c>
      <c r="H18" s="166">
        <f t="shared" si="4"/>
        <v>3.0956848030018769</v>
      </c>
    </row>
    <row r="19" spans="1:11" s="20" customFormat="1" x14ac:dyDescent="0.25">
      <c r="A19" s="123" t="s">
        <v>42</v>
      </c>
      <c r="B19" s="32">
        <f>1+4+4</f>
        <v>9</v>
      </c>
      <c r="C19" s="33">
        <f t="shared" si="0"/>
        <v>10.975609756097562</v>
      </c>
      <c r="D19" s="32">
        <f>5+6+2</f>
        <v>13</v>
      </c>
      <c r="E19" s="33">
        <f t="shared" si="1"/>
        <v>16.666666666666668</v>
      </c>
      <c r="F19" s="32">
        <f t="shared" si="2"/>
        <v>22</v>
      </c>
      <c r="G19" s="33">
        <f t="shared" si="3"/>
        <v>13.75</v>
      </c>
      <c r="H19" s="167">
        <f t="shared" si="4"/>
        <v>-5.691056910569106</v>
      </c>
    </row>
    <row r="20" spans="1:11" s="20" customFormat="1" x14ac:dyDescent="0.25">
      <c r="A20" s="123" t="s">
        <v>111</v>
      </c>
      <c r="B20" s="32">
        <f>6+6</f>
        <v>12</v>
      </c>
      <c r="C20" s="34">
        <f t="shared" si="0"/>
        <v>14.634146341463415</v>
      </c>
      <c r="D20" s="35">
        <f>3+1+1</f>
        <v>5</v>
      </c>
      <c r="E20" s="34">
        <f t="shared" si="1"/>
        <v>6.4102564102564106</v>
      </c>
      <c r="F20" s="35">
        <f t="shared" si="2"/>
        <v>17</v>
      </c>
      <c r="G20" s="34">
        <f t="shared" si="3"/>
        <v>10.625</v>
      </c>
      <c r="H20" s="167">
        <f t="shared" si="4"/>
        <v>8.2238899312070046</v>
      </c>
    </row>
    <row r="21" spans="1:11" s="20" customFormat="1" ht="13.8" thickBot="1" x14ac:dyDescent="0.3">
      <c r="A21" s="124" t="s">
        <v>46</v>
      </c>
      <c r="B21" s="120">
        <f>2+1</f>
        <v>3</v>
      </c>
      <c r="C21" s="121">
        <f t="shared" si="0"/>
        <v>3.6585365853658538</v>
      </c>
      <c r="D21" s="120">
        <f>3+3+1</f>
        <v>7</v>
      </c>
      <c r="E21" s="121">
        <f t="shared" si="1"/>
        <v>8.9743589743589745</v>
      </c>
      <c r="F21" s="120">
        <f t="shared" si="2"/>
        <v>10</v>
      </c>
      <c r="G21" s="121">
        <f t="shared" si="3"/>
        <v>6.25</v>
      </c>
      <c r="H21" s="174">
        <f t="shared" si="4"/>
        <v>-5.3158223889931211</v>
      </c>
    </row>
    <row r="22" spans="1:11" s="20" customFormat="1" x14ac:dyDescent="0.25">
      <c r="A22" s="113" t="s">
        <v>87</v>
      </c>
      <c r="B22" s="25">
        <f>SUM(B9:B21)</f>
        <v>258</v>
      </c>
      <c r="C22" s="25"/>
      <c r="D22" s="25">
        <f>SUM(D9:D21)</f>
        <v>239</v>
      </c>
      <c r="E22" s="25"/>
      <c r="F22" s="25">
        <f>SUM(F9:F21)</f>
        <v>497</v>
      </c>
      <c r="G22" s="25"/>
      <c r="H22" s="150"/>
    </row>
    <row r="23" spans="1:11" s="20" customFormat="1" x14ac:dyDescent="0.25">
      <c r="A23" s="25"/>
    </row>
    <row r="24" spans="1:11" s="20" customFormat="1" x14ac:dyDescent="0.25">
      <c r="A24" s="25"/>
    </row>
    <row r="25" spans="1:11" s="20" customFormat="1" ht="61.5" customHeight="1" x14ac:dyDescent="0.25">
      <c r="A25" s="229" t="s">
        <v>132</v>
      </c>
      <c r="B25" s="229"/>
      <c r="C25" s="229"/>
      <c r="D25" s="229"/>
      <c r="E25" s="229"/>
      <c r="F25" s="229"/>
      <c r="G25" s="229"/>
      <c r="H25" s="19"/>
      <c r="I25" s="19"/>
      <c r="J25" s="19"/>
      <c r="K25" s="19"/>
    </row>
    <row r="26" spans="1:11" s="20" customFormat="1" ht="13.8" thickBot="1" x14ac:dyDescent="0.3"/>
    <row r="27" spans="1:11" s="20" customFormat="1" ht="36" customHeight="1" thickBot="1" x14ac:dyDescent="0.3">
      <c r="A27" s="226" t="s">
        <v>60</v>
      </c>
      <c r="B27" s="227"/>
      <c r="C27" s="227"/>
      <c r="D27" s="227"/>
      <c r="E27" s="227"/>
      <c r="F27" s="227"/>
      <c r="G27" s="228"/>
    </row>
    <row r="28" spans="1:11" s="20" customFormat="1" ht="15.6" x14ac:dyDescent="0.25">
      <c r="A28" s="143"/>
      <c r="B28" s="143"/>
      <c r="C28" s="143"/>
      <c r="D28" s="143"/>
      <c r="E28" s="143"/>
      <c r="F28" s="143"/>
      <c r="G28" s="143"/>
    </row>
    <row r="29" spans="1:11" s="20" customFormat="1" x14ac:dyDescent="0.25">
      <c r="A29" s="16"/>
      <c r="B29" s="16"/>
      <c r="C29" s="16"/>
      <c r="H29" s="144" t="s">
        <v>124</v>
      </c>
    </row>
    <row r="30" spans="1:11" s="20" customFormat="1" x14ac:dyDescent="0.25">
      <c r="A30" s="108"/>
      <c r="B30" s="29" t="s">
        <v>84</v>
      </c>
      <c r="C30" s="18">
        <v>176</v>
      </c>
      <c r="D30" s="29" t="s">
        <v>84</v>
      </c>
      <c r="E30" s="30">
        <v>306</v>
      </c>
      <c r="F30" s="29" t="s">
        <v>84</v>
      </c>
      <c r="G30" s="30">
        <f>C30+E30</f>
        <v>482</v>
      </c>
      <c r="H30" s="145" t="s">
        <v>119</v>
      </c>
    </row>
    <row r="31" spans="1:11" s="20" customFormat="1" x14ac:dyDescent="0.25">
      <c r="A31" s="108"/>
      <c r="B31" s="225" t="s">
        <v>82</v>
      </c>
      <c r="C31" s="225"/>
      <c r="D31" s="225" t="s">
        <v>83</v>
      </c>
      <c r="E31" s="225"/>
      <c r="F31" s="238" t="s">
        <v>85</v>
      </c>
      <c r="G31" s="238"/>
      <c r="H31" s="146" t="s">
        <v>120</v>
      </c>
    </row>
    <row r="32" spans="1:11" s="20" customFormat="1" ht="13.8" thickBot="1" x14ac:dyDescent="0.3">
      <c r="A32" s="109" t="s">
        <v>88</v>
      </c>
      <c r="B32" s="98" t="s">
        <v>75</v>
      </c>
      <c r="C32" s="98" t="s">
        <v>26</v>
      </c>
      <c r="D32" s="98" t="s">
        <v>75</v>
      </c>
      <c r="E32" s="98" t="s">
        <v>26</v>
      </c>
      <c r="F32" s="97" t="s">
        <v>75</v>
      </c>
      <c r="G32" s="97" t="s">
        <v>26</v>
      </c>
      <c r="H32" s="147" t="s">
        <v>122</v>
      </c>
    </row>
    <row r="33" spans="1:8" s="20" customFormat="1" x14ac:dyDescent="0.25">
      <c r="A33" s="110" t="s">
        <v>50</v>
      </c>
      <c r="B33" s="23">
        <f>12+34+40</f>
        <v>86</v>
      </c>
      <c r="C33" s="24">
        <f t="shared" ref="C33:C45" si="5">B33*100/$C$30</f>
        <v>48.863636363636367</v>
      </c>
      <c r="D33" s="23">
        <f>51+48+21+9</f>
        <v>129</v>
      </c>
      <c r="E33" s="24">
        <f t="shared" ref="E33:E45" si="6">D33*100/$E$30</f>
        <v>42.156862745098039</v>
      </c>
      <c r="F33" s="23">
        <f t="shared" ref="F33:F45" si="7">B33+D33</f>
        <v>215</v>
      </c>
      <c r="G33" s="24">
        <f t="shared" ref="G33:G45" si="8">F33*100/$G$30</f>
        <v>44.605809128630703</v>
      </c>
      <c r="H33" s="170">
        <f t="shared" ref="H33:H45" si="9">C33-E33</f>
        <v>6.7067736185383282</v>
      </c>
    </row>
    <row r="34" spans="1:8" s="20" customFormat="1" x14ac:dyDescent="0.25">
      <c r="A34" s="111" t="s">
        <v>58</v>
      </c>
      <c r="B34" s="94">
        <f>7+35+30</f>
        <v>72</v>
      </c>
      <c r="C34" s="92">
        <f t="shared" si="5"/>
        <v>40.909090909090907</v>
      </c>
      <c r="D34" s="94">
        <f>42+37+8+6</f>
        <v>93</v>
      </c>
      <c r="E34" s="92">
        <f t="shared" si="6"/>
        <v>30.392156862745097</v>
      </c>
      <c r="F34" s="94">
        <f t="shared" si="7"/>
        <v>165</v>
      </c>
      <c r="G34" s="92">
        <f t="shared" si="8"/>
        <v>34.232365145228215</v>
      </c>
      <c r="H34" s="167">
        <f t="shared" si="9"/>
        <v>10.51693404634581</v>
      </c>
    </row>
    <row r="35" spans="1:8" s="20" customFormat="1" x14ac:dyDescent="0.25">
      <c r="A35" s="111" t="s">
        <v>53</v>
      </c>
      <c r="B35" s="94">
        <f>3+24+18</f>
        <v>45</v>
      </c>
      <c r="C35" s="92">
        <f t="shared" si="5"/>
        <v>25.568181818181817</v>
      </c>
      <c r="D35" s="94">
        <f>40+28+17+9</f>
        <v>94</v>
      </c>
      <c r="E35" s="92">
        <f t="shared" si="6"/>
        <v>30.718954248366014</v>
      </c>
      <c r="F35" s="94">
        <f t="shared" si="7"/>
        <v>139</v>
      </c>
      <c r="G35" s="92">
        <f t="shared" si="8"/>
        <v>28.838174273858922</v>
      </c>
      <c r="H35" s="167">
        <f t="shared" si="9"/>
        <v>-5.1507724301841975</v>
      </c>
    </row>
    <row r="36" spans="1:8" s="20" customFormat="1" x14ac:dyDescent="0.25">
      <c r="A36" s="111" t="s">
        <v>52</v>
      </c>
      <c r="B36" s="94">
        <f>2+15+18</f>
        <v>35</v>
      </c>
      <c r="C36" s="92">
        <f t="shared" si="5"/>
        <v>19.886363636363637</v>
      </c>
      <c r="D36" s="94">
        <f>19+25+16+5</f>
        <v>65</v>
      </c>
      <c r="E36" s="92">
        <f t="shared" si="6"/>
        <v>21.241830065359476</v>
      </c>
      <c r="F36" s="94">
        <f t="shared" si="7"/>
        <v>100</v>
      </c>
      <c r="G36" s="92">
        <f t="shared" si="8"/>
        <v>20.74688796680498</v>
      </c>
      <c r="H36" s="173">
        <f t="shared" si="9"/>
        <v>-1.3554664289958396</v>
      </c>
    </row>
    <row r="37" spans="1:8" s="20" customFormat="1" ht="26.4" x14ac:dyDescent="0.25">
      <c r="A37" s="111" t="s">
        <v>55</v>
      </c>
      <c r="B37" s="94">
        <f>5+18+8</f>
        <v>31</v>
      </c>
      <c r="C37" s="92">
        <f t="shared" si="5"/>
        <v>17.613636363636363</v>
      </c>
      <c r="D37" s="94">
        <f>18+24+13+8</f>
        <v>63</v>
      </c>
      <c r="E37" s="92">
        <f t="shared" si="6"/>
        <v>20.588235294117649</v>
      </c>
      <c r="F37" s="94">
        <f t="shared" si="7"/>
        <v>94</v>
      </c>
      <c r="G37" s="92">
        <f t="shared" si="8"/>
        <v>19.502074688796682</v>
      </c>
      <c r="H37" s="166">
        <f t="shared" si="9"/>
        <v>-2.9745989304812852</v>
      </c>
    </row>
    <row r="38" spans="1:8" s="20" customFormat="1" x14ac:dyDescent="0.25">
      <c r="A38" s="111" t="s">
        <v>46</v>
      </c>
      <c r="B38" s="94">
        <f>4+8+11</f>
        <v>23</v>
      </c>
      <c r="C38" s="92">
        <f t="shared" si="5"/>
        <v>13.068181818181818</v>
      </c>
      <c r="D38" s="94">
        <f>22+20+11+4</f>
        <v>57</v>
      </c>
      <c r="E38" s="92">
        <f t="shared" si="6"/>
        <v>18.627450980392158</v>
      </c>
      <c r="F38" s="94">
        <f t="shared" si="7"/>
        <v>80</v>
      </c>
      <c r="G38" s="92">
        <f t="shared" si="8"/>
        <v>16.597510373443985</v>
      </c>
      <c r="H38" s="167">
        <f t="shared" si="9"/>
        <v>-5.5592691622103398</v>
      </c>
    </row>
    <row r="39" spans="1:8" s="20" customFormat="1" x14ac:dyDescent="0.25">
      <c r="A39" s="111" t="s">
        <v>56</v>
      </c>
      <c r="B39" s="94">
        <f>1+11+10</f>
        <v>22</v>
      </c>
      <c r="C39" s="92">
        <f t="shared" si="5"/>
        <v>12.5</v>
      </c>
      <c r="D39" s="94">
        <f>26+19+4+5</f>
        <v>54</v>
      </c>
      <c r="E39" s="92">
        <f t="shared" si="6"/>
        <v>17.647058823529413</v>
      </c>
      <c r="F39" s="94">
        <f t="shared" si="7"/>
        <v>76</v>
      </c>
      <c r="G39" s="92">
        <f t="shared" si="8"/>
        <v>15.767634854771785</v>
      </c>
      <c r="H39" s="167">
        <f t="shared" si="9"/>
        <v>-5.147058823529413</v>
      </c>
    </row>
    <row r="40" spans="1:8" s="20" customFormat="1" ht="26.4" x14ac:dyDescent="0.25">
      <c r="A40" s="111" t="s">
        <v>57</v>
      </c>
      <c r="B40" s="94">
        <f>1+3+4</f>
        <v>8</v>
      </c>
      <c r="C40" s="92">
        <f t="shared" si="5"/>
        <v>4.5454545454545459</v>
      </c>
      <c r="D40" s="94">
        <f>18+13+6+6</f>
        <v>43</v>
      </c>
      <c r="E40" s="92">
        <f t="shared" si="6"/>
        <v>14.052287581699346</v>
      </c>
      <c r="F40" s="94">
        <f t="shared" si="7"/>
        <v>51</v>
      </c>
      <c r="G40" s="92">
        <f t="shared" si="8"/>
        <v>10.580912863070539</v>
      </c>
      <c r="H40" s="167">
        <f t="shared" si="9"/>
        <v>-9.5068330362447995</v>
      </c>
    </row>
    <row r="41" spans="1:8" s="20" customFormat="1" x14ac:dyDescent="0.25">
      <c r="A41" s="111" t="s">
        <v>51</v>
      </c>
      <c r="B41" s="94">
        <f>4+5+4</f>
        <v>13</v>
      </c>
      <c r="C41" s="92">
        <f t="shared" si="5"/>
        <v>7.3863636363636367</v>
      </c>
      <c r="D41" s="94">
        <f>10+8+4+3</f>
        <v>25</v>
      </c>
      <c r="E41" s="92">
        <f t="shared" si="6"/>
        <v>8.1699346405228752</v>
      </c>
      <c r="F41" s="94">
        <f t="shared" si="7"/>
        <v>38</v>
      </c>
      <c r="G41" s="92">
        <f t="shared" si="8"/>
        <v>7.8838174273858925</v>
      </c>
      <c r="H41" s="166">
        <f t="shared" si="9"/>
        <v>-0.78357100415923853</v>
      </c>
    </row>
    <row r="42" spans="1:8" s="20" customFormat="1" x14ac:dyDescent="0.25">
      <c r="A42" s="111" t="s">
        <v>59</v>
      </c>
      <c r="B42" s="94">
        <f>7+3</f>
        <v>10</v>
      </c>
      <c r="C42" s="92">
        <f t="shared" si="5"/>
        <v>5.6818181818181817</v>
      </c>
      <c r="D42" s="94">
        <f>6+8+4+3</f>
        <v>21</v>
      </c>
      <c r="E42" s="92">
        <f t="shared" si="6"/>
        <v>6.8627450980392153</v>
      </c>
      <c r="F42" s="94">
        <f t="shared" si="7"/>
        <v>31</v>
      </c>
      <c r="G42" s="92">
        <f t="shared" si="8"/>
        <v>6.4315352697095438</v>
      </c>
      <c r="H42" s="166">
        <f t="shared" si="9"/>
        <v>-1.1809269162210336</v>
      </c>
    </row>
    <row r="43" spans="1:8" s="20" customFormat="1" ht="26.4" x14ac:dyDescent="0.25">
      <c r="A43" s="111" t="s">
        <v>54</v>
      </c>
      <c r="B43" s="94">
        <f>1+2+7</f>
        <v>10</v>
      </c>
      <c r="C43" s="92">
        <f t="shared" si="5"/>
        <v>5.6818181818181817</v>
      </c>
      <c r="D43" s="94">
        <f>7+10+1</f>
        <v>18</v>
      </c>
      <c r="E43" s="92">
        <f t="shared" si="6"/>
        <v>5.882352941176471</v>
      </c>
      <c r="F43" s="94">
        <f t="shared" si="7"/>
        <v>28</v>
      </c>
      <c r="G43" s="92">
        <f t="shared" si="8"/>
        <v>5.809128630705394</v>
      </c>
      <c r="H43" s="166">
        <f t="shared" si="9"/>
        <v>-0.20053475935828935</v>
      </c>
    </row>
    <row r="44" spans="1:8" s="20" customFormat="1" x14ac:dyDescent="0.25">
      <c r="A44" s="111" t="s">
        <v>49</v>
      </c>
      <c r="B44" s="94">
        <f>1+5+8</f>
        <v>14</v>
      </c>
      <c r="C44" s="92">
        <f t="shared" si="5"/>
        <v>7.9545454545454541</v>
      </c>
      <c r="D44" s="94">
        <f>4+3+3</f>
        <v>10</v>
      </c>
      <c r="E44" s="92">
        <f t="shared" si="6"/>
        <v>3.2679738562091503</v>
      </c>
      <c r="F44" s="94">
        <f t="shared" si="7"/>
        <v>24</v>
      </c>
      <c r="G44" s="92">
        <f t="shared" si="8"/>
        <v>4.9792531120331951</v>
      </c>
      <c r="H44" s="166">
        <f t="shared" si="9"/>
        <v>4.6865715983363039</v>
      </c>
    </row>
    <row r="45" spans="1:8" s="20" customFormat="1" ht="13.8" thickBot="1" x14ac:dyDescent="0.3">
      <c r="A45" s="112" t="s">
        <v>111</v>
      </c>
      <c r="B45" s="101">
        <f>0</f>
        <v>0</v>
      </c>
      <c r="C45" s="102">
        <f t="shared" si="5"/>
        <v>0</v>
      </c>
      <c r="D45" s="101">
        <v>0</v>
      </c>
      <c r="E45" s="102">
        <f t="shared" si="6"/>
        <v>0</v>
      </c>
      <c r="F45" s="101">
        <f t="shared" si="7"/>
        <v>0</v>
      </c>
      <c r="G45" s="102">
        <f t="shared" si="8"/>
        <v>0</v>
      </c>
      <c r="H45" s="169">
        <f t="shared" si="9"/>
        <v>0</v>
      </c>
    </row>
    <row r="46" spans="1:8" s="20" customFormat="1" x14ac:dyDescent="0.25">
      <c r="A46" s="113" t="s">
        <v>87</v>
      </c>
      <c r="B46" s="25">
        <f>SUM(B33:B45)</f>
        <v>369</v>
      </c>
      <c r="C46" s="25"/>
      <c r="D46" s="25">
        <f>SUM(D33:D45)</f>
        <v>672</v>
      </c>
      <c r="E46" s="25"/>
      <c r="F46" s="25">
        <f>SUM(F33:F45)</f>
        <v>1041</v>
      </c>
      <c r="G46" s="25"/>
      <c r="H46" s="148"/>
    </row>
    <row r="47" spans="1:8" s="20" customFormat="1" x14ac:dyDescent="0.25"/>
    <row r="48" spans="1:8" s="20" customFormat="1" x14ac:dyDescent="0.25"/>
    <row r="49" spans="1:11" s="20" customFormat="1" ht="61.5" customHeight="1" x14ac:dyDescent="0.25">
      <c r="A49" s="229" t="s">
        <v>132</v>
      </c>
      <c r="B49" s="229"/>
      <c r="C49" s="229"/>
      <c r="D49" s="229"/>
      <c r="E49" s="229"/>
      <c r="F49" s="229"/>
      <c r="G49" s="229"/>
      <c r="H49" s="19"/>
      <c r="I49" s="19"/>
      <c r="J49" s="19"/>
      <c r="K49" s="19"/>
    </row>
    <row r="50" spans="1:11" s="20" customFormat="1" ht="13.8" thickBot="1" x14ac:dyDescent="0.3"/>
    <row r="51" spans="1:11" s="20" customFormat="1" ht="36" customHeight="1" thickBot="1" x14ac:dyDescent="0.3">
      <c r="A51" s="226" t="s">
        <v>61</v>
      </c>
      <c r="B51" s="227"/>
      <c r="C51" s="227"/>
      <c r="D51" s="227"/>
      <c r="E51" s="227"/>
      <c r="F51" s="227"/>
      <c r="G51" s="228"/>
    </row>
    <row r="52" spans="1:11" s="20" customFormat="1" ht="15.6" x14ac:dyDescent="0.25">
      <c r="A52" s="143"/>
      <c r="B52" s="143"/>
      <c r="C52" s="143"/>
      <c r="D52" s="143"/>
      <c r="E52" s="143"/>
      <c r="F52" s="143"/>
      <c r="G52" s="143"/>
    </row>
    <row r="53" spans="1:11" s="20" customFormat="1" x14ac:dyDescent="0.25">
      <c r="A53" s="16"/>
      <c r="B53" s="16"/>
      <c r="C53" s="16"/>
      <c r="H53" s="144" t="s">
        <v>124</v>
      </c>
    </row>
    <row r="54" spans="1:11" s="20" customFormat="1" x14ac:dyDescent="0.25">
      <c r="A54" s="108"/>
      <c r="B54" s="29" t="s">
        <v>84</v>
      </c>
      <c r="C54" s="18">
        <v>91</v>
      </c>
      <c r="D54" s="29" t="s">
        <v>84</v>
      </c>
      <c r="E54" s="30">
        <v>418</v>
      </c>
      <c r="F54" s="29" t="s">
        <v>84</v>
      </c>
      <c r="G54" s="30">
        <f>C54+E54</f>
        <v>509</v>
      </c>
      <c r="H54" s="145" t="s">
        <v>119</v>
      </c>
    </row>
    <row r="55" spans="1:11" s="20" customFormat="1" x14ac:dyDescent="0.25">
      <c r="A55" s="108"/>
      <c r="B55" s="225" t="s">
        <v>82</v>
      </c>
      <c r="C55" s="225"/>
      <c r="D55" s="225" t="s">
        <v>83</v>
      </c>
      <c r="E55" s="225"/>
      <c r="F55" s="238" t="s">
        <v>85</v>
      </c>
      <c r="G55" s="238"/>
      <c r="H55" s="146" t="s">
        <v>120</v>
      </c>
    </row>
    <row r="56" spans="1:11" s="20" customFormat="1" ht="13.8" thickBot="1" x14ac:dyDescent="0.3">
      <c r="A56" s="109" t="s">
        <v>88</v>
      </c>
      <c r="B56" s="98" t="s">
        <v>75</v>
      </c>
      <c r="C56" s="98" t="s">
        <v>26</v>
      </c>
      <c r="D56" s="98" t="s">
        <v>75</v>
      </c>
      <c r="E56" s="98" t="s">
        <v>26</v>
      </c>
      <c r="F56" s="97" t="s">
        <v>75</v>
      </c>
      <c r="G56" s="97" t="s">
        <v>26</v>
      </c>
      <c r="H56" s="147" t="s">
        <v>122</v>
      </c>
    </row>
    <row r="57" spans="1:11" s="20" customFormat="1" x14ac:dyDescent="0.25">
      <c r="A57" s="110" t="s">
        <v>65</v>
      </c>
      <c r="B57" s="23">
        <f>1+11+30</f>
        <v>42</v>
      </c>
      <c r="C57" s="24">
        <f t="shared" ref="C57:C71" si="10">B57*100/$C$54</f>
        <v>46.153846153846153</v>
      </c>
      <c r="D57" s="23">
        <f>36+29+37+51</f>
        <v>153</v>
      </c>
      <c r="E57" s="24">
        <f t="shared" ref="E57:E71" si="11">D57*100/$E$54</f>
        <v>36.602870813397132</v>
      </c>
      <c r="F57" s="23">
        <f t="shared" ref="F57:F71" si="12">B57+D57</f>
        <v>195</v>
      </c>
      <c r="G57" s="24">
        <f t="shared" ref="G57:G71" si="13">F57*100/$G$54</f>
        <v>38.310412573673872</v>
      </c>
      <c r="H57" s="170">
        <f t="shared" ref="H57:H71" si="14">C57-E57</f>
        <v>9.5509753404490212</v>
      </c>
    </row>
    <row r="58" spans="1:11" s="20" customFormat="1" x14ac:dyDescent="0.25">
      <c r="A58" s="111" t="s">
        <v>67</v>
      </c>
      <c r="B58" s="94">
        <f>11+20</f>
        <v>31</v>
      </c>
      <c r="C58" s="92">
        <f t="shared" si="10"/>
        <v>34.065934065934066</v>
      </c>
      <c r="D58" s="94">
        <f>41+27+36+37</f>
        <v>141</v>
      </c>
      <c r="E58" s="92">
        <f t="shared" si="11"/>
        <v>33.732057416267942</v>
      </c>
      <c r="F58" s="94">
        <f t="shared" si="12"/>
        <v>172</v>
      </c>
      <c r="G58" s="92">
        <f t="shared" si="13"/>
        <v>33.791748526522596</v>
      </c>
      <c r="H58" s="166">
        <f t="shared" si="14"/>
        <v>0.33387664966612363</v>
      </c>
    </row>
    <row r="59" spans="1:11" s="20" customFormat="1" x14ac:dyDescent="0.25">
      <c r="A59" s="111" t="s">
        <v>69</v>
      </c>
      <c r="B59" s="94">
        <f>9+29</f>
        <v>38</v>
      </c>
      <c r="C59" s="92">
        <f t="shared" si="10"/>
        <v>41.758241758241759</v>
      </c>
      <c r="D59" s="94">
        <f>34+20+33+39</f>
        <v>126</v>
      </c>
      <c r="E59" s="92">
        <f t="shared" si="11"/>
        <v>30.14354066985646</v>
      </c>
      <c r="F59" s="94">
        <f t="shared" si="12"/>
        <v>164</v>
      </c>
      <c r="G59" s="92">
        <f t="shared" si="13"/>
        <v>32.220039292730846</v>
      </c>
      <c r="H59" s="167">
        <f t="shared" si="14"/>
        <v>11.614701088385299</v>
      </c>
    </row>
    <row r="60" spans="1:11" s="20" customFormat="1" ht="12.75" customHeight="1" x14ac:dyDescent="0.25">
      <c r="A60" s="111" t="s">
        <v>64</v>
      </c>
      <c r="B60" s="94">
        <f>1+11</f>
        <v>12</v>
      </c>
      <c r="C60" s="92">
        <f t="shared" si="10"/>
        <v>13.186813186813186</v>
      </c>
      <c r="D60" s="94">
        <f>13+33+32+49</f>
        <v>127</v>
      </c>
      <c r="E60" s="92">
        <f t="shared" si="11"/>
        <v>30.382775119617225</v>
      </c>
      <c r="F60" s="94">
        <f t="shared" si="12"/>
        <v>139</v>
      </c>
      <c r="G60" s="92">
        <f t="shared" si="13"/>
        <v>27.308447937131632</v>
      </c>
      <c r="H60" s="167">
        <f t="shared" si="14"/>
        <v>-17.195961932804039</v>
      </c>
    </row>
    <row r="61" spans="1:11" s="20" customFormat="1" x14ac:dyDescent="0.25">
      <c r="A61" s="111" t="s">
        <v>46</v>
      </c>
      <c r="B61" s="94">
        <f>8+22</f>
        <v>30</v>
      </c>
      <c r="C61" s="92">
        <f t="shared" si="10"/>
        <v>32.967032967032964</v>
      </c>
      <c r="D61" s="94">
        <f>18+8+12+27</f>
        <v>65</v>
      </c>
      <c r="E61" s="92">
        <f t="shared" si="11"/>
        <v>15.55023923444976</v>
      </c>
      <c r="F61" s="94">
        <f t="shared" si="12"/>
        <v>95</v>
      </c>
      <c r="G61" s="92">
        <f t="shared" si="13"/>
        <v>18.664047151277014</v>
      </c>
      <c r="H61" s="167">
        <f t="shared" si="14"/>
        <v>17.416793732583201</v>
      </c>
    </row>
    <row r="62" spans="1:11" s="20" customFormat="1" x14ac:dyDescent="0.25">
      <c r="A62" s="111" t="s">
        <v>66</v>
      </c>
      <c r="B62" s="94">
        <f>5+15</f>
        <v>20</v>
      </c>
      <c r="C62" s="92">
        <f t="shared" si="10"/>
        <v>21.978021978021978</v>
      </c>
      <c r="D62" s="94">
        <f>18+18+19+18</f>
        <v>73</v>
      </c>
      <c r="E62" s="92">
        <f t="shared" si="11"/>
        <v>17.464114832535884</v>
      </c>
      <c r="F62" s="94">
        <f t="shared" si="12"/>
        <v>93</v>
      </c>
      <c r="G62" s="92">
        <f t="shared" si="13"/>
        <v>18.271119842829076</v>
      </c>
      <c r="H62" s="166">
        <f t="shared" si="14"/>
        <v>4.513907145486094</v>
      </c>
    </row>
    <row r="63" spans="1:11" s="20" customFormat="1" ht="12.75" customHeight="1" x14ac:dyDescent="0.25">
      <c r="A63" s="111" t="s">
        <v>63</v>
      </c>
      <c r="B63" s="94">
        <f>2+8+21</f>
        <v>31</v>
      </c>
      <c r="C63" s="92">
        <f t="shared" si="10"/>
        <v>34.065934065934066</v>
      </c>
      <c r="D63" s="94">
        <f>12+18+14+16</f>
        <v>60</v>
      </c>
      <c r="E63" s="92">
        <f t="shared" si="11"/>
        <v>14.354066985645932</v>
      </c>
      <c r="F63" s="94">
        <f t="shared" si="12"/>
        <v>91</v>
      </c>
      <c r="G63" s="92">
        <f t="shared" si="13"/>
        <v>17.878192534381139</v>
      </c>
      <c r="H63" s="167">
        <f t="shared" si="14"/>
        <v>19.711867080288133</v>
      </c>
    </row>
    <row r="64" spans="1:11" s="20" customFormat="1" x14ac:dyDescent="0.25">
      <c r="A64" s="111" t="s">
        <v>62</v>
      </c>
      <c r="B64" s="94">
        <f>2+9</f>
        <v>11</v>
      </c>
      <c r="C64" s="92">
        <f t="shared" si="10"/>
        <v>12.087912087912088</v>
      </c>
      <c r="D64" s="94">
        <f>15+9+18+19</f>
        <v>61</v>
      </c>
      <c r="E64" s="92">
        <f t="shared" si="11"/>
        <v>14.593301435406699</v>
      </c>
      <c r="F64" s="94">
        <f t="shared" si="12"/>
        <v>72</v>
      </c>
      <c r="G64" s="92">
        <f t="shared" si="13"/>
        <v>14.145383104125736</v>
      </c>
      <c r="H64" s="166">
        <f t="shared" si="14"/>
        <v>-2.5053893474946118</v>
      </c>
    </row>
    <row r="65" spans="1:8" s="20" customFormat="1" x14ac:dyDescent="0.25">
      <c r="A65" s="111" t="s">
        <v>71</v>
      </c>
      <c r="B65" s="94">
        <f>1+6+7</f>
        <v>14</v>
      </c>
      <c r="C65" s="92">
        <f t="shared" si="10"/>
        <v>15.384615384615385</v>
      </c>
      <c r="D65" s="94">
        <f>12+8+15+18</f>
        <v>53</v>
      </c>
      <c r="E65" s="92">
        <f t="shared" si="11"/>
        <v>12.679425837320574</v>
      </c>
      <c r="F65" s="94">
        <f t="shared" si="12"/>
        <v>67</v>
      </c>
      <c r="G65" s="92">
        <f t="shared" si="13"/>
        <v>13.163064833005894</v>
      </c>
      <c r="H65" s="166">
        <f t="shared" si="14"/>
        <v>2.7051895472948111</v>
      </c>
    </row>
    <row r="66" spans="1:8" s="20" customFormat="1" x14ac:dyDescent="0.25">
      <c r="A66" s="111" t="s">
        <v>72</v>
      </c>
      <c r="B66" s="94">
        <f>1+11+8</f>
        <v>20</v>
      </c>
      <c r="C66" s="92">
        <f t="shared" si="10"/>
        <v>21.978021978021978</v>
      </c>
      <c r="D66" s="94">
        <f>11+8+12+13</f>
        <v>44</v>
      </c>
      <c r="E66" s="92">
        <f t="shared" si="11"/>
        <v>10.526315789473685</v>
      </c>
      <c r="F66" s="94">
        <f t="shared" si="12"/>
        <v>64</v>
      </c>
      <c r="G66" s="92">
        <f t="shared" si="13"/>
        <v>12.573673870333987</v>
      </c>
      <c r="H66" s="167">
        <f t="shared" si="14"/>
        <v>11.451706188548293</v>
      </c>
    </row>
    <row r="67" spans="1:8" s="20" customFormat="1" x14ac:dyDescent="0.25">
      <c r="A67" s="111" t="s">
        <v>68</v>
      </c>
      <c r="B67" s="94">
        <f>3+14</f>
        <v>17</v>
      </c>
      <c r="C67" s="92">
        <f t="shared" si="10"/>
        <v>18.681318681318682</v>
      </c>
      <c r="D67" s="94">
        <f>3+7+12+13</f>
        <v>35</v>
      </c>
      <c r="E67" s="92">
        <f t="shared" si="11"/>
        <v>8.3732057416267942</v>
      </c>
      <c r="F67" s="94">
        <f t="shared" si="12"/>
        <v>52</v>
      </c>
      <c r="G67" s="92">
        <f t="shared" si="13"/>
        <v>10.216110019646365</v>
      </c>
      <c r="H67" s="167">
        <f t="shared" si="14"/>
        <v>10.308112939691888</v>
      </c>
    </row>
    <row r="68" spans="1:8" s="20" customFormat="1" ht="26.4" x14ac:dyDescent="0.25">
      <c r="A68" s="111" t="s">
        <v>81</v>
      </c>
      <c r="B68" s="94">
        <f>2</f>
        <v>2</v>
      </c>
      <c r="C68" s="92">
        <f t="shared" si="10"/>
        <v>2.197802197802198</v>
      </c>
      <c r="D68" s="94">
        <f>8+8+5+15</f>
        <v>36</v>
      </c>
      <c r="E68" s="92">
        <f t="shared" si="11"/>
        <v>8.6124401913875595</v>
      </c>
      <c r="F68" s="94">
        <f t="shared" si="12"/>
        <v>38</v>
      </c>
      <c r="G68" s="92">
        <f t="shared" si="13"/>
        <v>7.4656188605108058</v>
      </c>
      <c r="H68" s="167">
        <f t="shared" si="14"/>
        <v>-6.4146379935853615</v>
      </c>
    </row>
    <row r="69" spans="1:8" s="20" customFormat="1" x14ac:dyDescent="0.25">
      <c r="A69" s="111" t="s">
        <v>70</v>
      </c>
      <c r="B69" s="94">
        <f>1+6</f>
        <v>7</v>
      </c>
      <c r="C69" s="92">
        <f t="shared" si="10"/>
        <v>7.6923076923076925</v>
      </c>
      <c r="D69" s="94">
        <f>1+3+2+5</f>
        <v>11</v>
      </c>
      <c r="E69" s="92">
        <f t="shared" si="11"/>
        <v>2.6315789473684212</v>
      </c>
      <c r="F69" s="94">
        <f t="shared" si="12"/>
        <v>18</v>
      </c>
      <c r="G69" s="92">
        <f t="shared" si="13"/>
        <v>3.5363457760314341</v>
      </c>
      <c r="H69" s="171">
        <f t="shared" si="14"/>
        <v>5.0607287449392713</v>
      </c>
    </row>
    <row r="70" spans="1:8" s="20" customFormat="1" x14ac:dyDescent="0.25">
      <c r="A70" s="111" t="s">
        <v>73</v>
      </c>
      <c r="B70" s="94">
        <f>2</f>
        <v>2</v>
      </c>
      <c r="C70" s="92">
        <f t="shared" si="10"/>
        <v>2.197802197802198</v>
      </c>
      <c r="D70" s="94">
        <f>2+1+2+3</f>
        <v>8</v>
      </c>
      <c r="E70" s="92">
        <f t="shared" si="11"/>
        <v>1.9138755980861244</v>
      </c>
      <c r="F70" s="94">
        <f t="shared" si="12"/>
        <v>10</v>
      </c>
      <c r="G70" s="92">
        <f t="shared" si="13"/>
        <v>1.9646365422396856</v>
      </c>
      <c r="H70" s="172">
        <f t="shared" si="14"/>
        <v>0.28392659971607359</v>
      </c>
    </row>
    <row r="71" spans="1:8" s="20" customFormat="1" ht="13.8" thickBot="1" x14ac:dyDescent="0.3">
      <c r="A71" s="112" t="s">
        <v>111</v>
      </c>
      <c r="B71" s="101">
        <v>0</v>
      </c>
      <c r="C71" s="102">
        <f t="shared" si="10"/>
        <v>0</v>
      </c>
      <c r="D71" s="101">
        <v>1</v>
      </c>
      <c r="E71" s="102">
        <f t="shared" si="11"/>
        <v>0.23923444976076555</v>
      </c>
      <c r="F71" s="101">
        <f t="shared" si="12"/>
        <v>1</v>
      </c>
      <c r="G71" s="102">
        <f t="shared" si="13"/>
        <v>0.19646365422396855</v>
      </c>
      <c r="H71" s="169">
        <f t="shared" si="14"/>
        <v>-0.23923444976076555</v>
      </c>
    </row>
    <row r="72" spans="1:8" s="20" customFormat="1" x14ac:dyDescent="0.25">
      <c r="A72" s="113" t="s">
        <v>87</v>
      </c>
      <c r="B72" s="25">
        <f>SUM(B57:B71)</f>
        <v>277</v>
      </c>
      <c r="C72" s="25"/>
      <c r="D72" s="25">
        <f>SUM(D57:D71)</f>
        <v>994</v>
      </c>
      <c r="E72" s="25"/>
      <c r="F72" s="25">
        <f>SUM(F57:F71)</f>
        <v>1271</v>
      </c>
      <c r="G72" s="25"/>
      <c r="H72" s="148"/>
    </row>
    <row r="73" spans="1:8" s="20" customFormat="1" x14ac:dyDescent="0.25">
      <c r="A73" s="25"/>
    </row>
    <row r="74" spans="1:8" s="20" customFormat="1" ht="61.5" customHeight="1" x14ac:dyDescent="0.25">
      <c r="A74" s="229" t="s">
        <v>132</v>
      </c>
      <c r="B74" s="229"/>
      <c r="C74" s="229"/>
      <c r="D74" s="229"/>
      <c r="E74" s="229"/>
      <c r="F74" s="229"/>
      <c r="G74" s="229"/>
    </row>
    <row r="75" spans="1:8" s="20" customFormat="1" ht="13.8" thickBot="1" x14ac:dyDescent="0.3">
      <c r="A75" s="25"/>
    </row>
    <row r="76" spans="1:8" s="20" customFormat="1" ht="36" customHeight="1" thickBot="1" x14ac:dyDescent="0.3">
      <c r="A76" s="226" t="s">
        <v>74</v>
      </c>
      <c r="B76" s="227"/>
      <c r="C76" s="227"/>
      <c r="D76" s="227"/>
      <c r="E76" s="227"/>
      <c r="F76" s="227"/>
      <c r="G76" s="228"/>
    </row>
    <row r="77" spans="1:8" s="20" customFormat="1" ht="15.6" x14ac:dyDescent="0.25">
      <c r="A77" s="143"/>
      <c r="B77" s="143"/>
      <c r="C77" s="143"/>
      <c r="D77" s="143"/>
      <c r="E77" s="143"/>
      <c r="F77" s="143"/>
      <c r="G77" s="143"/>
    </row>
    <row r="78" spans="1:8" s="20" customFormat="1" x14ac:dyDescent="0.25">
      <c r="A78" s="15"/>
      <c r="B78" s="15"/>
      <c r="C78" s="39"/>
      <c r="H78" s="144" t="s">
        <v>124</v>
      </c>
    </row>
    <row r="79" spans="1:8" s="20" customFormat="1" x14ac:dyDescent="0.25">
      <c r="A79" s="125"/>
      <c r="B79" s="29" t="s">
        <v>84</v>
      </c>
      <c r="C79" s="18">
        <v>327</v>
      </c>
      <c r="D79" s="29" t="s">
        <v>84</v>
      </c>
      <c r="E79" s="30">
        <v>551</v>
      </c>
      <c r="F79" s="29" t="s">
        <v>84</v>
      </c>
      <c r="G79" s="30">
        <f>C79+E79</f>
        <v>878</v>
      </c>
      <c r="H79" s="145" t="s">
        <v>119</v>
      </c>
    </row>
    <row r="80" spans="1:8" s="20" customFormat="1" x14ac:dyDescent="0.25">
      <c r="A80" s="125"/>
      <c r="B80" s="225" t="s">
        <v>82</v>
      </c>
      <c r="C80" s="225"/>
      <c r="D80" s="225" t="s">
        <v>83</v>
      </c>
      <c r="E80" s="225"/>
      <c r="F80" s="238" t="s">
        <v>85</v>
      </c>
      <c r="G80" s="238"/>
      <c r="H80" s="146" t="s">
        <v>120</v>
      </c>
    </row>
    <row r="81" spans="1:8" s="20" customFormat="1" ht="13.8" thickBot="1" x14ac:dyDescent="0.3">
      <c r="A81" s="109" t="s">
        <v>88</v>
      </c>
      <c r="B81" s="98" t="s">
        <v>75</v>
      </c>
      <c r="C81" s="98" t="s">
        <v>26</v>
      </c>
      <c r="D81" s="98" t="s">
        <v>75</v>
      </c>
      <c r="E81" s="98" t="s">
        <v>26</v>
      </c>
      <c r="F81" s="97" t="s">
        <v>75</v>
      </c>
      <c r="G81" s="97" t="s">
        <v>26</v>
      </c>
      <c r="H81" s="147" t="s">
        <v>122</v>
      </c>
    </row>
    <row r="82" spans="1:8" s="20" customFormat="1" x14ac:dyDescent="0.25">
      <c r="A82" s="110" t="s">
        <v>38</v>
      </c>
      <c r="B82" s="23">
        <f>69+105+81</f>
        <v>255</v>
      </c>
      <c r="C82" s="24">
        <f t="shared" ref="C82:C94" si="15">B82*100/$C$79</f>
        <v>77.981651376146786</v>
      </c>
      <c r="D82" s="23">
        <f>114+104+72+145</f>
        <v>435</v>
      </c>
      <c r="E82" s="24">
        <f t="shared" ref="E82:E94" si="16">D82*100/$E$79</f>
        <v>78.94736842105263</v>
      </c>
      <c r="F82" s="23">
        <f t="shared" ref="F82:F94" si="17">B82+D82</f>
        <v>690</v>
      </c>
      <c r="G82" s="24">
        <f t="shared" ref="G82:G94" si="18">F82*100/$G$79</f>
        <v>78.587699316628701</v>
      </c>
      <c r="H82" s="165">
        <f t="shared" ref="H82:H94" si="19">C82-E82</f>
        <v>-0.96571704490584409</v>
      </c>
    </row>
    <row r="83" spans="1:8" s="20" customFormat="1" x14ac:dyDescent="0.25">
      <c r="A83" s="111" t="s">
        <v>37</v>
      </c>
      <c r="B83" s="94">
        <f>25+59+50</f>
        <v>134</v>
      </c>
      <c r="C83" s="92">
        <f t="shared" si="15"/>
        <v>40.978593272171253</v>
      </c>
      <c r="D83" s="94">
        <f>69+59+40+76</f>
        <v>244</v>
      </c>
      <c r="E83" s="92">
        <f t="shared" si="16"/>
        <v>44.283121597096191</v>
      </c>
      <c r="F83" s="94">
        <f t="shared" si="17"/>
        <v>378</v>
      </c>
      <c r="G83" s="92">
        <f t="shared" si="18"/>
        <v>43.052391799544417</v>
      </c>
      <c r="H83" s="166">
        <f t="shared" si="19"/>
        <v>-3.304528324924938</v>
      </c>
    </row>
    <row r="84" spans="1:8" s="20" customFormat="1" x14ac:dyDescent="0.25">
      <c r="A84" s="111" t="s">
        <v>112</v>
      </c>
      <c r="B84" s="94">
        <f>24+32+35</f>
        <v>91</v>
      </c>
      <c r="C84" s="92">
        <f t="shared" si="15"/>
        <v>27.828746177370032</v>
      </c>
      <c r="D84" s="94">
        <f>53+53+30+76</f>
        <v>212</v>
      </c>
      <c r="E84" s="92">
        <f t="shared" si="16"/>
        <v>38.475499092558984</v>
      </c>
      <c r="F84" s="94">
        <f t="shared" si="17"/>
        <v>303</v>
      </c>
      <c r="G84" s="92">
        <f t="shared" si="18"/>
        <v>34.510250569476085</v>
      </c>
      <c r="H84" s="167">
        <f t="shared" si="19"/>
        <v>-10.646752915188952</v>
      </c>
    </row>
    <row r="85" spans="1:8" s="20" customFormat="1" x14ac:dyDescent="0.25">
      <c r="A85" s="111" t="s">
        <v>41</v>
      </c>
      <c r="B85" s="94">
        <f>17+53+37</f>
        <v>107</v>
      </c>
      <c r="C85" s="92">
        <f t="shared" si="15"/>
        <v>32.721712538226299</v>
      </c>
      <c r="D85" s="94">
        <f>40+42+37+56</f>
        <v>175</v>
      </c>
      <c r="E85" s="92">
        <f t="shared" si="16"/>
        <v>31.760435571687839</v>
      </c>
      <c r="F85" s="94">
        <f t="shared" si="17"/>
        <v>282</v>
      </c>
      <c r="G85" s="92">
        <f t="shared" si="18"/>
        <v>32.118451025056949</v>
      </c>
      <c r="H85" s="166">
        <f t="shared" si="19"/>
        <v>0.96127696653845973</v>
      </c>
    </row>
    <row r="86" spans="1:8" s="20" customFormat="1" x14ac:dyDescent="0.25">
      <c r="A86" s="111" t="s">
        <v>39</v>
      </c>
      <c r="B86" s="94">
        <f>16+25+31</f>
        <v>72</v>
      </c>
      <c r="C86" s="92">
        <f t="shared" si="15"/>
        <v>22.01834862385321</v>
      </c>
      <c r="D86" s="94">
        <f>46+31+17+40</f>
        <v>134</v>
      </c>
      <c r="E86" s="92">
        <f t="shared" si="16"/>
        <v>24.319419237749546</v>
      </c>
      <c r="F86" s="94">
        <f t="shared" si="17"/>
        <v>206</v>
      </c>
      <c r="G86" s="92">
        <f t="shared" si="18"/>
        <v>23.462414578587698</v>
      </c>
      <c r="H86" s="166">
        <f t="shared" si="19"/>
        <v>-2.3010706138963357</v>
      </c>
    </row>
    <row r="87" spans="1:8" s="20" customFormat="1" x14ac:dyDescent="0.25">
      <c r="A87" s="111" t="s">
        <v>40</v>
      </c>
      <c r="B87" s="94">
        <f>14+22+21</f>
        <v>57</v>
      </c>
      <c r="C87" s="92">
        <f t="shared" si="15"/>
        <v>17.431192660550458</v>
      </c>
      <c r="D87" s="94">
        <f>34+29+25+37</f>
        <v>125</v>
      </c>
      <c r="E87" s="92">
        <f t="shared" si="16"/>
        <v>22.686025408348456</v>
      </c>
      <c r="F87" s="94">
        <f t="shared" si="17"/>
        <v>182</v>
      </c>
      <c r="G87" s="92">
        <f t="shared" si="18"/>
        <v>20.728929384965831</v>
      </c>
      <c r="H87" s="167">
        <f t="shared" si="19"/>
        <v>-5.2548327477979981</v>
      </c>
    </row>
    <row r="88" spans="1:8" s="20" customFormat="1" x14ac:dyDescent="0.25">
      <c r="A88" s="111" t="s">
        <v>43</v>
      </c>
      <c r="B88" s="94">
        <f>13+29+21</f>
        <v>63</v>
      </c>
      <c r="C88" s="92">
        <f t="shared" si="15"/>
        <v>19.26605504587156</v>
      </c>
      <c r="D88" s="94">
        <f>39+17+20+36</f>
        <v>112</v>
      </c>
      <c r="E88" s="92">
        <f t="shared" si="16"/>
        <v>20.326678765880217</v>
      </c>
      <c r="F88" s="94">
        <f t="shared" si="17"/>
        <v>175</v>
      </c>
      <c r="G88" s="92">
        <f t="shared" si="18"/>
        <v>19.931662870159453</v>
      </c>
      <c r="H88" s="166">
        <f t="shared" si="19"/>
        <v>-1.0606237200086568</v>
      </c>
    </row>
    <row r="89" spans="1:8" s="20" customFormat="1" ht="12.75" customHeight="1" x14ac:dyDescent="0.25">
      <c r="A89" s="111" t="s">
        <v>45</v>
      </c>
      <c r="B89" s="94">
        <f>14+22+31</f>
        <v>67</v>
      </c>
      <c r="C89" s="92">
        <f t="shared" si="15"/>
        <v>20.489296636085626</v>
      </c>
      <c r="D89" s="94">
        <f>35+30+12+25</f>
        <v>102</v>
      </c>
      <c r="E89" s="92">
        <f t="shared" si="16"/>
        <v>18.511796733212343</v>
      </c>
      <c r="F89" s="94">
        <f t="shared" si="17"/>
        <v>169</v>
      </c>
      <c r="G89" s="92">
        <f t="shared" si="18"/>
        <v>19.248291571753985</v>
      </c>
      <c r="H89" s="166">
        <f t="shared" si="19"/>
        <v>1.9774999028732836</v>
      </c>
    </row>
    <row r="90" spans="1:8" s="20" customFormat="1" ht="26.4" x14ac:dyDescent="0.25">
      <c r="A90" s="111" t="s">
        <v>80</v>
      </c>
      <c r="B90" s="94">
        <f>11+16+20</f>
        <v>47</v>
      </c>
      <c r="C90" s="92">
        <f t="shared" si="15"/>
        <v>14.37308868501529</v>
      </c>
      <c r="D90" s="94">
        <f>31+30+13+30</f>
        <v>104</v>
      </c>
      <c r="E90" s="92">
        <f t="shared" si="16"/>
        <v>18.874773139745916</v>
      </c>
      <c r="F90" s="94">
        <f t="shared" si="17"/>
        <v>151</v>
      </c>
      <c r="G90" s="92">
        <f t="shared" si="18"/>
        <v>17.198177676537586</v>
      </c>
      <c r="H90" s="166">
        <f t="shared" si="19"/>
        <v>-4.5016844547306256</v>
      </c>
    </row>
    <row r="91" spans="1:8" s="20" customFormat="1" x14ac:dyDescent="0.25">
      <c r="A91" s="111" t="s">
        <v>44</v>
      </c>
      <c r="B91" s="94">
        <f>21+18+23</f>
        <v>62</v>
      </c>
      <c r="C91" s="92">
        <f t="shared" si="15"/>
        <v>18.960244648318042</v>
      </c>
      <c r="D91" s="94">
        <f>26+12+15+30</f>
        <v>83</v>
      </c>
      <c r="E91" s="92">
        <f t="shared" si="16"/>
        <v>15.063520871143377</v>
      </c>
      <c r="F91" s="94">
        <f t="shared" si="17"/>
        <v>145</v>
      </c>
      <c r="G91" s="92">
        <f t="shared" si="18"/>
        <v>16.514806378132118</v>
      </c>
      <c r="H91" s="166">
        <f t="shared" si="19"/>
        <v>3.8967237771746657</v>
      </c>
    </row>
    <row r="92" spans="1:8" s="20" customFormat="1" x14ac:dyDescent="0.25">
      <c r="A92" s="111" t="s">
        <v>42</v>
      </c>
      <c r="B92" s="94">
        <f>9+14+21</f>
        <v>44</v>
      </c>
      <c r="C92" s="92">
        <f t="shared" si="15"/>
        <v>13.455657492354741</v>
      </c>
      <c r="D92" s="94">
        <f>29+24+12+29</f>
        <v>94</v>
      </c>
      <c r="E92" s="92">
        <f t="shared" si="16"/>
        <v>17.059891107078041</v>
      </c>
      <c r="F92" s="94">
        <f t="shared" si="17"/>
        <v>138</v>
      </c>
      <c r="G92" s="92">
        <f t="shared" si="18"/>
        <v>15.71753986332574</v>
      </c>
      <c r="H92" s="166">
        <f t="shared" si="19"/>
        <v>-3.6042336147233005</v>
      </c>
    </row>
    <row r="93" spans="1:8" s="20" customFormat="1" x14ac:dyDescent="0.25">
      <c r="A93" s="111" t="s">
        <v>46</v>
      </c>
      <c r="B93" s="94">
        <f>12+13+12</f>
        <v>37</v>
      </c>
      <c r="C93" s="92">
        <f t="shared" si="15"/>
        <v>11.314984709480122</v>
      </c>
      <c r="D93" s="94">
        <f>10+8+7+15</f>
        <v>40</v>
      </c>
      <c r="E93" s="92">
        <f t="shared" si="16"/>
        <v>7.259528130671506</v>
      </c>
      <c r="F93" s="94">
        <f t="shared" si="17"/>
        <v>77</v>
      </c>
      <c r="G93" s="92">
        <f t="shared" si="18"/>
        <v>8.7699316628701602</v>
      </c>
      <c r="H93" s="166">
        <f t="shared" si="19"/>
        <v>4.0554565788086157</v>
      </c>
    </row>
    <row r="94" spans="1:8" s="20" customFormat="1" ht="13.8" thickBot="1" x14ac:dyDescent="0.3">
      <c r="A94" s="112" t="s">
        <v>111</v>
      </c>
      <c r="B94" s="101">
        <f>3+8+2</f>
        <v>13</v>
      </c>
      <c r="C94" s="102">
        <f t="shared" si="15"/>
        <v>3.9755351681957185</v>
      </c>
      <c r="D94" s="101">
        <f>3+3+8+6</f>
        <v>20</v>
      </c>
      <c r="E94" s="102">
        <f t="shared" si="16"/>
        <v>3.629764065335753</v>
      </c>
      <c r="F94" s="101">
        <f t="shared" si="17"/>
        <v>33</v>
      </c>
      <c r="G94" s="102">
        <f t="shared" si="18"/>
        <v>3.7585421412300684</v>
      </c>
      <c r="H94" s="169">
        <f t="shared" si="19"/>
        <v>0.34577110285996548</v>
      </c>
    </row>
    <row r="95" spans="1:8" s="20" customFormat="1" x14ac:dyDescent="0.25">
      <c r="A95" s="113" t="s">
        <v>87</v>
      </c>
      <c r="B95" s="25">
        <f>SUM(B82:B94)</f>
        <v>1049</v>
      </c>
      <c r="C95" s="25"/>
      <c r="D95" s="25">
        <f>SUM(D82:D94)</f>
        <v>1880</v>
      </c>
      <c r="E95" s="25"/>
      <c r="F95" s="25">
        <f>SUM(F82:F94)</f>
        <v>2929</v>
      </c>
      <c r="G95" s="25"/>
      <c r="H95" s="149"/>
    </row>
    <row r="96" spans="1:8" x14ac:dyDescent="0.25">
      <c r="H96" s="136"/>
    </row>
  </sheetData>
  <mergeCells count="20">
    <mergeCell ref="A74:G74"/>
    <mergeCell ref="B55:C55"/>
    <mergeCell ref="B80:C80"/>
    <mergeCell ref="D80:E80"/>
    <mergeCell ref="F80:G80"/>
    <mergeCell ref="A76:G76"/>
    <mergeCell ref="D55:E55"/>
    <mergeCell ref="F55:G55"/>
    <mergeCell ref="A1:G1"/>
    <mergeCell ref="A3:G3"/>
    <mergeCell ref="A51:G51"/>
    <mergeCell ref="A49:G49"/>
    <mergeCell ref="D7:E7"/>
    <mergeCell ref="B31:C31"/>
    <mergeCell ref="D31:E31"/>
    <mergeCell ref="F7:G7"/>
    <mergeCell ref="F31:G31"/>
    <mergeCell ref="A27:G27"/>
    <mergeCell ref="A25:G25"/>
    <mergeCell ref="B7:C7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3" manualBreakCount="3">
    <brk id="24" max="16383" man="1"/>
    <brk id="48" max="16383" man="1"/>
    <brk id="7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91" workbookViewId="0">
      <selection activeCell="F102" sqref="F102"/>
    </sheetView>
  </sheetViews>
  <sheetFormatPr baseColWidth="10" defaultRowHeight="13.2" x14ac:dyDescent="0.25"/>
  <cols>
    <col min="1" max="1" width="45.44140625" customWidth="1"/>
    <col min="2" max="2" width="7.5546875" bestFit="1" customWidth="1"/>
    <col min="3" max="3" width="8" bestFit="1" customWidth="1"/>
    <col min="4" max="4" width="7.5546875" bestFit="1" customWidth="1"/>
    <col min="5" max="5" width="8" bestFit="1" customWidth="1"/>
    <col min="6" max="6" width="7.5546875" bestFit="1" customWidth="1"/>
    <col min="7" max="7" width="8" bestFit="1" customWidth="1"/>
    <col min="8" max="8" width="7.5546875" bestFit="1" customWidth="1"/>
    <col min="9" max="9" width="8" bestFit="1" customWidth="1"/>
    <col min="10" max="10" width="7.5546875" bestFit="1" customWidth="1"/>
    <col min="11" max="11" width="8" bestFit="1" customWidth="1"/>
  </cols>
  <sheetData>
    <row r="1" spans="1:11" s="20" customFormat="1" ht="61.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s="20" customFormat="1" ht="13.8" thickBot="1" x14ac:dyDescent="0.3"/>
    <row r="3" spans="1:11" s="27" customFormat="1" ht="36" customHeight="1" thickBot="1" x14ac:dyDescent="0.3">
      <c r="A3" s="226" t="s">
        <v>86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</row>
    <row r="4" spans="1:11" s="28" customFormat="1" x14ac:dyDescent="0.25">
      <c r="A4" s="16"/>
      <c r="B4" s="16"/>
    </row>
    <row r="5" spans="1:11" s="28" customFormat="1" ht="13.5" customHeight="1" x14ac:dyDescent="0.25">
      <c r="A5" s="108"/>
      <c r="B5" s="29" t="s">
        <v>84</v>
      </c>
      <c r="C5" s="18">
        <v>26</v>
      </c>
      <c r="D5" s="29" t="s">
        <v>84</v>
      </c>
      <c r="E5" s="30">
        <v>10</v>
      </c>
      <c r="F5" s="29" t="s">
        <v>84</v>
      </c>
      <c r="G5" s="30">
        <v>71</v>
      </c>
      <c r="H5" s="29" t="s">
        <v>84</v>
      </c>
      <c r="I5" s="30">
        <v>52</v>
      </c>
      <c r="J5" s="29" t="s">
        <v>84</v>
      </c>
      <c r="K5" s="30">
        <f>C5+E5+G5+I5</f>
        <v>159</v>
      </c>
    </row>
    <row r="6" spans="1:11" s="28" customFormat="1" ht="13.5" customHeight="1" x14ac:dyDescent="0.25">
      <c r="A6" s="108"/>
      <c r="B6" s="225" t="s">
        <v>28</v>
      </c>
      <c r="C6" s="225"/>
      <c r="D6" s="225" t="s">
        <v>102</v>
      </c>
      <c r="E6" s="225"/>
      <c r="F6" s="238" t="s">
        <v>103</v>
      </c>
      <c r="G6" s="238"/>
      <c r="H6" s="238" t="s">
        <v>104</v>
      </c>
      <c r="I6" s="238"/>
      <c r="J6" s="238" t="s">
        <v>105</v>
      </c>
      <c r="K6" s="238"/>
    </row>
    <row r="7" spans="1:11" s="20" customFormat="1" ht="13.5" customHeight="1" thickBot="1" x14ac:dyDescent="0.3">
      <c r="A7" s="109" t="s">
        <v>88</v>
      </c>
      <c r="B7" s="98" t="s">
        <v>75</v>
      </c>
      <c r="C7" s="98" t="s">
        <v>26</v>
      </c>
      <c r="D7" s="98" t="s">
        <v>75</v>
      </c>
      <c r="E7" s="98" t="s">
        <v>26</v>
      </c>
      <c r="F7" s="97" t="s">
        <v>75</v>
      </c>
      <c r="G7" s="97" t="s">
        <v>26</v>
      </c>
      <c r="H7" s="98" t="s">
        <v>75</v>
      </c>
      <c r="I7" s="98" t="s">
        <v>26</v>
      </c>
      <c r="J7" s="98" t="s">
        <v>75</v>
      </c>
      <c r="K7" s="98" t="s">
        <v>26</v>
      </c>
    </row>
    <row r="8" spans="1:11" s="20" customFormat="1" ht="13.5" customHeight="1" x14ac:dyDescent="0.25">
      <c r="A8" s="110" t="s">
        <v>38</v>
      </c>
      <c r="B8" s="23">
        <v>19</v>
      </c>
      <c r="C8" s="24">
        <f t="shared" ref="C8:C20" si="0">B8*100/$C$5</f>
        <v>73.07692307692308</v>
      </c>
      <c r="D8" s="23">
        <v>8</v>
      </c>
      <c r="E8" s="24">
        <f t="shared" ref="E8:E20" si="1">D8*100/$E$5</f>
        <v>80</v>
      </c>
      <c r="F8" s="23">
        <v>51</v>
      </c>
      <c r="G8" s="24">
        <f t="shared" ref="G8:G20" si="2">F8*100/$G$5</f>
        <v>71.83098591549296</v>
      </c>
      <c r="H8" s="23">
        <v>39</v>
      </c>
      <c r="I8" s="24">
        <f>H8*100/$I$5</f>
        <v>75</v>
      </c>
      <c r="J8" s="23">
        <f>B8+D8+F8+H8</f>
        <v>117</v>
      </c>
      <c r="K8" s="24">
        <f>J8*100/$K$5</f>
        <v>73.584905660377359</v>
      </c>
    </row>
    <row r="9" spans="1:11" s="20" customFormat="1" ht="13.5" customHeight="1" x14ac:dyDescent="0.25">
      <c r="A9" s="111" t="s">
        <v>113</v>
      </c>
      <c r="B9" s="94">
        <v>6</v>
      </c>
      <c r="C9" s="92">
        <f t="shared" si="0"/>
        <v>23.076923076923077</v>
      </c>
      <c r="D9" s="94">
        <v>3</v>
      </c>
      <c r="E9" s="92">
        <f t="shared" si="1"/>
        <v>30</v>
      </c>
      <c r="F9" s="94">
        <v>36</v>
      </c>
      <c r="G9" s="92">
        <f t="shared" si="2"/>
        <v>50.70422535211268</v>
      </c>
      <c r="H9" s="94">
        <v>19</v>
      </c>
      <c r="I9" s="92">
        <f t="shared" ref="I9:I20" si="3">H9*100/$I$5</f>
        <v>36.53846153846154</v>
      </c>
      <c r="J9" s="94">
        <f t="shared" ref="J9:J20" si="4">B9+D9+F9+H9</f>
        <v>64</v>
      </c>
      <c r="K9" s="92">
        <f t="shared" ref="K9:K20" si="5">J9*100/$K$5</f>
        <v>40.251572327044023</v>
      </c>
    </row>
    <row r="10" spans="1:11" s="20" customFormat="1" ht="13.5" customHeight="1" x14ac:dyDescent="0.25">
      <c r="A10" s="111" t="s">
        <v>40</v>
      </c>
      <c r="B10" s="94">
        <v>5</v>
      </c>
      <c r="C10" s="92">
        <f t="shared" si="0"/>
        <v>19.23076923076923</v>
      </c>
      <c r="D10" s="94">
        <v>6</v>
      </c>
      <c r="E10" s="92">
        <f t="shared" si="1"/>
        <v>60</v>
      </c>
      <c r="F10" s="94">
        <v>29</v>
      </c>
      <c r="G10" s="92">
        <f t="shared" si="2"/>
        <v>40.845070422535208</v>
      </c>
      <c r="H10" s="94">
        <v>21</v>
      </c>
      <c r="I10" s="92">
        <f t="shared" si="3"/>
        <v>40.384615384615387</v>
      </c>
      <c r="J10" s="94">
        <f t="shared" si="4"/>
        <v>61</v>
      </c>
      <c r="K10" s="92">
        <f t="shared" si="5"/>
        <v>38.364779874213838</v>
      </c>
    </row>
    <row r="11" spans="1:11" s="20" customFormat="1" ht="13.5" customHeight="1" x14ac:dyDescent="0.25">
      <c r="A11" s="111" t="s">
        <v>41</v>
      </c>
      <c r="B11" s="94">
        <v>4</v>
      </c>
      <c r="C11" s="92">
        <f t="shared" si="0"/>
        <v>15.384615384615385</v>
      </c>
      <c r="D11" s="94">
        <v>1</v>
      </c>
      <c r="E11" s="92">
        <f t="shared" si="1"/>
        <v>10</v>
      </c>
      <c r="F11" s="94">
        <v>27</v>
      </c>
      <c r="G11" s="92">
        <f t="shared" si="2"/>
        <v>38.028169014084504</v>
      </c>
      <c r="H11" s="94">
        <v>9</v>
      </c>
      <c r="I11" s="92">
        <f t="shared" si="3"/>
        <v>17.307692307692307</v>
      </c>
      <c r="J11" s="94">
        <f t="shared" si="4"/>
        <v>41</v>
      </c>
      <c r="K11" s="92">
        <f t="shared" si="5"/>
        <v>25.786163522012579</v>
      </c>
    </row>
    <row r="12" spans="1:11" s="20" customFormat="1" ht="28.5" customHeight="1" x14ac:dyDescent="0.25">
      <c r="A12" s="116" t="s">
        <v>37</v>
      </c>
      <c r="B12" s="95">
        <v>5</v>
      </c>
      <c r="C12" s="96">
        <f t="shared" si="0"/>
        <v>19.23076923076923</v>
      </c>
      <c r="D12" s="95">
        <v>1</v>
      </c>
      <c r="E12" s="96">
        <f t="shared" si="1"/>
        <v>10</v>
      </c>
      <c r="F12" s="95">
        <v>19</v>
      </c>
      <c r="G12" s="96">
        <f t="shared" si="2"/>
        <v>26.760563380281692</v>
      </c>
      <c r="H12" s="94">
        <v>11</v>
      </c>
      <c r="I12" s="92">
        <f t="shared" si="3"/>
        <v>21.153846153846153</v>
      </c>
      <c r="J12" s="94">
        <f t="shared" si="4"/>
        <v>36</v>
      </c>
      <c r="K12" s="92">
        <f t="shared" si="5"/>
        <v>22.641509433962263</v>
      </c>
    </row>
    <row r="13" spans="1:11" s="20" customFormat="1" ht="13.5" customHeight="1" x14ac:dyDescent="0.25">
      <c r="A13" s="111" t="s">
        <v>39</v>
      </c>
      <c r="B13" s="94">
        <v>4</v>
      </c>
      <c r="C13" s="92">
        <f t="shared" si="0"/>
        <v>15.384615384615385</v>
      </c>
      <c r="D13" s="94">
        <v>3</v>
      </c>
      <c r="E13" s="92">
        <f t="shared" si="1"/>
        <v>30</v>
      </c>
      <c r="F13" s="94">
        <v>18</v>
      </c>
      <c r="G13" s="92">
        <f t="shared" si="2"/>
        <v>25.35211267605634</v>
      </c>
      <c r="H13" s="94">
        <v>12</v>
      </c>
      <c r="I13" s="92">
        <f t="shared" si="3"/>
        <v>23.076923076923077</v>
      </c>
      <c r="J13" s="94">
        <f t="shared" si="4"/>
        <v>37</v>
      </c>
      <c r="K13" s="92">
        <f t="shared" si="5"/>
        <v>23.270440251572328</v>
      </c>
    </row>
    <row r="14" spans="1:11" s="20" customFormat="1" ht="28.5" customHeight="1" x14ac:dyDescent="0.25">
      <c r="A14" s="116" t="s">
        <v>45</v>
      </c>
      <c r="B14" s="95">
        <v>1</v>
      </c>
      <c r="C14" s="96">
        <f t="shared" si="0"/>
        <v>3.8461538461538463</v>
      </c>
      <c r="D14" s="95">
        <v>1</v>
      </c>
      <c r="E14" s="96">
        <f t="shared" si="1"/>
        <v>10</v>
      </c>
      <c r="F14" s="95">
        <v>18</v>
      </c>
      <c r="G14" s="96">
        <f t="shared" si="2"/>
        <v>25.35211267605634</v>
      </c>
      <c r="H14" s="94">
        <v>6</v>
      </c>
      <c r="I14" s="92">
        <f t="shared" si="3"/>
        <v>11.538461538461538</v>
      </c>
      <c r="J14" s="94">
        <f t="shared" si="4"/>
        <v>26</v>
      </c>
      <c r="K14" s="92">
        <f t="shared" si="5"/>
        <v>16.352201257861637</v>
      </c>
    </row>
    <row r="15" spans="1:11" s="20" customFormat="1" ht="28.5" customHeight="1" x14ac:dyDescent="0.25">
      <c r="A15" s="116" t="s">
        <v>114</v>
      </c>
      <c r="B15" s="95">
        <v>2</v>
      </c>
      <c r="C15" s="96">
        <f t="shared" si="0"/>
        <v>7.6923076923076925</v>
      </c>
      <c r="D15" s="95">
        <v>1</v>
      </c>
      <c r="E15" s="96">
        <f t="shared" si="1"/>
        <v>10</v>
      </c>
      <c r="F15" s="95">
        <v>19</v>
      </c>
      <c r="G15" s="96">
        <f t="shared" si="2"/>
        <v>26.760563380281692</v>
      </c>
      <c r="H15" s="94">
        <v>3</v>
      </c>
      <c r="I15" s="92">
        <f t="shared" si="3"/>
        <v>5.7692307692307692</v>
      </c>
      <c r="J15" s="94">
        <f t="shared" si="4"/>
        <v>25</v>
      </c>
      <c r="K15" s="92">
        <f t="shared" si="5"/>
        <v>15.723270440251572</v>
      </c>
    </row>
    <row r="16" spans="1:11" s="20" customFormat="1" ht="13.5" customHeight="1" x14ac:dyDescent="0.25">
      <c r="A16" s="111" t="s">
        <v>44</v>
      </c>
      <c r="B16" s="94">
        <v>0</v>
      </c>
      <c r="C16" s="92">
        <f t="shared" si="0"/>
        <v>0</v>
      </c>
      <c r="D16" s="94">
        <v>3</v>
      </c>
      <c r="E16" s="92">
        <f t="shared" si="1"/>
        <v>30</v>
      </c>
      <c r="F16" s="94">
        <v>13</v>
      </c>
      <c r="G16" s="92">
        <f t="shared" si="2"/>
        <v>18.309859154929576</v>
      </c>
      <c r="H16" s="94">
        <v>7</v>
      </c>
      <c r="I16" s="92">
        <f t="shared" si="3"/>
        <v>13.461538461538462</v>
      </c>
      <c r="J16" s="94">
        <f t="shared" si="4"/>
        <v>23</v>
      </c>
      <c r="K16" s="92">
        <f t="shared" si="5"/>
        <v>14.465408805031446</v>
      </c>
    </row>
    <row r="17" spans="1:11" s="20" customFormat="1" ht="26.4" x14ac:dyDescent="0.25">
      <c r="A17" s="116" t="s">
        <v>80</v>
      </c>
      <c r="B17" s="95">
        <v>1</v>
      </c>
      <c r="C17" s="96">
        <f t="shared" si="0"/>
        <v>3.8461538461538463</v>
      </c>
      <c r="D17" s="95">
        <v>0</v>
      </c>
      <c r="E17" s="96">
        <f t="shared" si="1"/>
        <v>0</v>
      </c>
      <c r="F17" s="95">
        <v>16</v>
      </c>
      <c r="G17" s="96">
        <f t="shared" si="2"/>
        <v>22.535211267605632</v>
      </c>
      <c r="H17" s="94">
        <v>3</v>
      </c>
      <c r="I17" s="92">
        <f t="shared" si="3"/>
        <v>5.7692307692307692</v>
      </c>
      <c r="J17" s="94">
        <f t="shared" si="4"/>
        <v>20</v>
      </c>
      <c r="K17" s="92">
        <f t="shared" si="5"/>
        <v>12.578616352201259</v>
      </c>
    </row>
    <row r="18" spans="1:11" s="20" customFormat="1" ht="13.5" customHeight="1" x14ac:dyDescent="0.25">
      <c r="A18" s="111" t="s">
        <v>42</v>
      </c>
      <c r="B18" s="94">
        <v>2</v>
      </c>
      <c r="C18" s="92">
        <f t="shared" si="0"/>
        <v>7.6923076923076925</v>
      </c>
      <c r="D18" s="94">
        <v>1</v>
      </c>
      <c r="E18" s="92">
        <f t="shared" si="1"/>
        <v>10</v>
      </c>
      <c r="F18" s="94">
        <v>10</v>
      </c>
      <c r="G18" s="92">
        <f t="shared" si="2"/>
        <v>14.084507042253522</v>
      </c>
      <c r="H18" s="94">
        <v>8</v>
      </c>
      <c r="I18" s="92">
        <f t="shared" si="3"/>
        <v>15.384615384615385</v>
      </c>
      <c r="J18" s="94">
        <f t="shared" si="4"/>
        <v>21</v>
      </c>
      <c r="K18" s="92">
        <f t="shared" si="5"/>
        <v>13.20754716981132</v>
      </c>
    </row>
    <row r="19" spans="1:11" s="20" customFormat="1" ht="13.5" customHeight="1" x14ac:dyDescent="0.25">
      <c r="A19" s="111" t="s">
        <v>111</v>
      </c>
      <c r="B19" s="94">
        <v>4</v>
      </c>
      <c r="C19" s="92">
        <f t="shared" si="0"/>
        <v>15.384615384615385</v>
      </c>
      <c r="D19" s="94">
        <v>1</v>
      </c>
      <c r="E19" s="92">
        <f t="shared" si="1"/>
        <v>10</v>
      </c>
      <c r="F19" s="94">
        <v>5</v>
      </c>
      <c r="G19" s="92">
        <f t="shared" si="2"/>
        <v>7.042253521126761</v>
      </c>
      <c r="H19" s="94">
        <v>7</v>
      </c>
      <c r="I19" s="92">
        <f t="shared" si="3"/>
        <v>13.461538461538462</v>
      </c>
      <c r="J19" s="94">
        <f t="shared" si="4"/>
        <v>17</v>
      </c>
      <c r="K19" s="92">
        <f t="shared" si="5"/>
        <v>10.691823899371069</v>
      </c>
    </row>
    <row r="20" spans="1:11" s="20" customFormat="1" ht="13.8" thickBot="1" x14ac:dyDescent="0.3">
      <c r="A20" s="117" t="s">
        <v>46</v>
      </c>
      <c r="B20" s="99">
        <v>2</v>
      </c>
      <c r="C20" s="100">
        <f t="shared" si="0"/>
        <v>7.6923076923076925</v>
      </c>
      <c r="D20" s="99">
        <v>0</v>
      </c>
      <c r="E20" s="100">
        <f t="shared" si="1"/>
        <v>0</v>
      </c>
      <c r="F20" s="99">
        <v>2</v>
      </c>
      <c r="G20" s="100">
        <f t="shared" si="2"/>
        <v>2.816901408450704</v>
      </c>
      <c r="H20" s="101">
        <v>5</v>
      </c>
      <c r="I20" s="102">
        <f t="shared" si="3"/>
        <v>9.615384615384615</v>
      </c>
      <c r="J20" s="101">
        <f t="shared" si="4"/>
        <v>9</v>
      </c>
      <c r="K20" s="102">
        <f t="shared" si="5"/>
        <v>5.6603773584905657</v>
      </c>
    </row>
    <row r="21" spans="1:11" s="20" customFormat="1" ht="13.5" customHeight="1" x14ac:dyDescent="0.25">
      <c r="A21" s="113" t="s">
        <v>87</v>
      </c>
      <c r="B21" s="25">
        <f>SUM(B8:B20)</f>
        <v>55</v>
      </c>
      <c r="C21" s="25"/>
      <c r="D21" s="25">
        <f>SUM(D8:D20)</f>
        <v>29</v>
      </c>
      <c r="E21" s="25"/>
      <c r="F21" s="25">
        <f>SUM(F8:F20)</f>
        <v>263</v>
      </c>
      <c r="G21" s="25"/>
      <c r="H21" s="25">
        <f>SUM(H8:H20)</f>
        <v>150</v>
      </c>
      <c r="J21" s="25">
        <f>SUM(J8:J20)</f>
        <v>497</v>
      </c>
    </row>
    <row r="22" spans="1:11" s="20" customFormat="1" x14ac:dyDescent="0.25">
      <c r="A22" s="25"/>
    </row>
    <row r="23" spans="1:11" s="20" customFormat="1" x14ac:dyDescent="0.25">
      <c r="A23" s="25"/>
    </row>
    <row r="24" spans="1:11" s="20" customFormat="1" ht="61.5" customHeight="1" x14ac:dyDescent="0.25">
      <c r="A24" s="229" t="s">
        <v>47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</row>
    <row r="25" spans="1:11" s="20" customFormat="1" ht="13.8" thickBot="1" x14ac:dyDescent="0.3"/>
    <row r="26" spans="1:11" s="20" customFormat="1" ht="36" customHeight="1" thickBot="1" x14ac:dyDescent="0.3">
      <c r="A26" s="226" t="s">
        <v>60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8"/>
    </row>
    <row r="27" spans="1:11" s="20" customFormat="1" x14ac:dyDescent="0.25">
      <c r="A27" s="16"/>
      <c r="B27" s="16"/>
      <c r="C27" s="16"/>
    </row>
    <row r="28" spans="1:11" s="20" customFormat="1" ht="13.5" customHeight="1" x14ac:dyDescent="0.25">
      <c r="A28" s="108"/>
      <c r="B28" s="29" t="s">
        <v>84</v>
      </c>
      <c r="C28" s="18">
        <v>64</v>
      </c>
      <c r="D28" s="29" t="s">
        <v>84</v>
      </c>
      <c r="E28" s="30">
        <v>70</v>
      </c>
      <c r="F28" s="29" t="s">
        <v>84</v>
      </c>
      <c r="G28" s="30">
        <v>171</v>
      </c>
      <c r="H28" s="29" t="s">
        <v>84</v>
      </c>
      <c r="I28" s="30">
        <v>176</v>
      </c>
      <c r="J28" s="29" t="s">
        <v>84</v>
      </c>
      <c r="K28" s="30">
        <f>C28+E28+G28+I28</f>
        <v>481</v>
      </c>
    </row>
    <row r="29" spans="1:11" s="20" customFormat="1" ht="13.5" customHeight="1" x14ac:dyDescent="0.25">
      <c r="A29" s="108"/>
      <c r="B29" s="225" t="s">
        <v>28</v>
      </c>
      <c r="C29" s="225"/>
      <c r="D29" s="225" t="s">
        <v>102</v>
      </c>
      <c r="E29" s="225"/>
      <c r="F29" s="238" t="s">
        <v>103</v>
      </c>
      <c r="G29" s="238"/>
      <c r="H29" s="238" t="s">
        <v>104</v>
      </c>
      <c r="I29" s="238"/>
      <c r="J29" s="238" t="s">
        <v>105</v>
      </c>
      <c r="K29" s="238"/>
    </row>
    <row r="30" spans="1:11" s="20" customFormat="1" ht="13.5" customHeight="1" thickBot="1" x14ac:dyDescent="0.3">
      <c r="A30" s="109" t="s">
        <v>88</v>
      </c>
      <c r="B30" s="98" t="s">
        <v>75</v>
      </c>
      <c r="C30" s="98" t="s">
        <v>26</v>
      </c>
      <c r="D30" s="98" t="s">
        <v>75</v>
      </c>
      <c r="E30" s="98" t="s">
        <v>26</v>
      </c>
      <c r="F30" s="97" t="s">
        <v>75</v>
      </c>
      <c r="G30" s="97" t="s">
        <v>26</v>
      </c>
      <c r="H30" s="98" t="s">
        <v>75</v>
      </c>
      <c r="I30" s="98" t="s">
        <v>26</v>
      </c>
      <c r="J30" s="98" t="s">
        <v>75</v>
      </c>
      <c r="K30" s="98" t="s">
        <v>26</v>
      </c>
    </row>
    <row r="31" spans="1:11" s="20" customFormat="1" ht="13.5" customHeight="1" x14ac:dyDescent="0.25">
      <c r="A31" s="114" t="s">
        <v>50</v>
      </c>
      <c r="B31" s="103">
        <v>27</v>
      </c>
      <c r="C31" s="104">
        <f t="shared" ref="C31:C43" si="6">B31*100/$C$28</f>
        <v>42.1875</v>
      </c>
      <c r="D31" s="103">
        <v>30</v>
      </c>
      <c r="E31" s="104">
        <f t="shared" ref="E31:E43" si="7">D31*100/$E$28</f>
        <v>42.857142857142854</v>
      </c>
      <c r="F31" s="103">
        <v>80</v>
      </c>
      <c r="G31" s="104">
        <f>F31*100/$G$28</f>
        <v>46.783625730994153</v>
      </c>
      <c r="H31" s="103">
        <v>77</v>
      </c>
      <c r="I31" s="104">
        <f>H31*100/$I$28</f>
        <v>43.75</v>
      </c>
      <c r="J31" s="103">
        <f>B31+D31+F31+H31</f>
        <v>214</v>
      </c>
      <c r="K31" s="104">
        <f>J31*100/$K$28</f>
        <v>44.490644490644492</v>
      </c>
    </row>
    <row r="32" spans="1:11" s="20" customFormat="1" ht="28.5" customHeight="1" x14ac:dyDescent="0.25">
      <c r="A32" s="111" t="s">
        <v>58</v>
      </c>
      <c r="B32" s="94">
        <v>26</v>
      </c>
      <c r="C32" s="92">
        <f t="shared" si="6"/>
        <v>40.625</v>
      </c>
      <c r="D32" s="94">
        <v>16</v>
      </c>
      <c r="E32" s="92">
        <f t="shared" si="7"/>
        <v>22.857142857142858</v>
      </c>
      <c r="F32" s="94">
        <v>64</v>
      </c>
      <c r="G32" s="92">
        <f t="shared" ref="G32:G43" si="8">F32*100/$G$28</f>
        <v>37.42690058479532</v>
      </c>
      <c r="H32" s="94">
        <v>60</v>
      </c>
      <c r="I32" s="92">
        <f t="shared" ref="I32:I43" si="9">H32*100/$I$28</f>
        <v>34.090909090909093</v>
      </c>
      <c r="J32" s="94">
        <f t="shared" ref="J32:J43" si="10">B32+D32+F32+H32</f>
        <v>166</v>
      </c>
      <c r="K32" s="92">
        <f t="shared" ref="K32:K43" si="11">J32*100/$K$28</f>
        <v>34.511434511434508</v>
      </c>
    </row>
    <row r="33" spans="1:11" s="20" customFormat="1" ht="13.5" customHeight="1" x14ac:dyDescent="0.25">
      <c r="A33" s="111" t="s">
        <v>53</v>
      </c>
      <c r="B33" s="94">
        <v>10</v>
      </c>
      <c r="C33" s="92">
        <f t="shared" si="6"/>
        <v>15.625</v>
      </c>
      <c r="D33" s="94">
        <v>18</v>
      </c>
      <c r="E33" s="92">
        <f t="shared" si="7"/>
        <v>25.714285714285715</v>
      </c>
      <c r="F33" s="94">
        <v>53</v>
      </c>
      <c r="G33" s="92">
        <f t="shared" si="8"/>
        <v>30.994152046783626</v>
      </c>
      <c r="H33" s="94">
        <v>58</v>
      </c>
      <c r="I33" s="92">
        <f t="shared" si="9"/>
        <v>32.954545454545453</v>
      </c>
      <c r="J33" s="94">
        <f t="shared" si="10"/>
        <v>139</v>
      </c>
      <c r="K33" s="92">
        <f t="shared" si="11"/>
        <v>28.898128898128899</v>
      </c>
    </row>
    <row r="34" spans="1:11" s="20" customFormat="1" x14ac:dyDescent="0.25">
      <c r="A34" s="111" t="s">
        <v>52</v>
      </c>
      <c r="B34" s="94">
        <v>2</v>
      </c>
      <c r="C34" s="92">
        <f t="shared" si="6"/>
        <v>3.125</v>
      </c>
      <c r="D34" s="94">
        <v>6</v>
      </c>
      <c r="E34" s="92">
        <f t="shared" si="7"/>
        <v>8.5714285714285712</v>
      </c>
      <c r="F34" s="94">
        <v>33</v>
      </c>
      <c r="G34" s="92">
        <f t="shared" si="8"/>
        <v>19.298245614035089</v>
      </c>
      <c r="H34" s="94">
        <v>59</v>
      </c>
      <c r="I34" s="92">
        <f t="shared" si="9"/>
        <v>33.522727272727273</v>
      </c>
      <c r="J34" s="94">
        <f t="shared" si="10"/>
        <v>100</v>
      </c>
      <c r="K34" s="92">
        <f t="shared" si="11"/>
        <v>20.79002079002079</v>
      </c>
    </row>
    <row r="35" spans="1:11" s="20" customFormat="1" ht="28.5" customHeight="1" x14ac:dyDescent="0.25">
      <c r="A35" s="111" t="s">
        <v>55</v>
      </c>
      <c r="B35" s="94">
        <v>15</v>
      </c>
      <c r="C35" s="92">
        <f t="shared" si="6"/>
        <v>23.4375</v>
      </c>
      <c r="D35" s="94">
        <v>8</v>
      </c>
      <c r="E35" s="92">
        <f t="shared" si="7"/>
        <v>11.428571428571429</v>
      </c>
      <c r="F35" s="94">
        <v>33</v>
      </c>
      <c r="G35" s="92">
        <f t="shared" si="8"/>
        <v>19.298245614035089</v>
      </c>
      <c r="H35" s="94">
        <v>37</v>
      </c>
      <c r="I35" s="92">
        <f t="shared" si="9"/>
        <v>21.022727272727273</v>
      </c>
      <c r="J35" s="94">
        <f t="shared" si="10"/>
        <v>93</v>
      </c>
      <c r="K35" s="92">
        <f t="shared" si="11"/>
        <v>19.334719334719335</v>
      </c>
    </row>
    <row r="36" spans="1:11" s="20" customFormat="1" ht="13.5" customHeight="1" x14ac:dyDescent="0.25">
      <c r="A36" s="111" t="s">
        <v>46</v>
      </c>
      <c r="B36" s="94">
        <v>14</v>
      </c>
      <c r="C36" s="92">
        <f t="shared" si="6"/>
        <v>21.875</v>
      </c>
      <c r="D36" s="94">
        <v>12</v>
      </c>
      <c r="E36" s="92">
        <f t="shared" si="7"/>
        <v>17.142857142857142</v>
      </c>
      <c r="F36" s="94">
        <v>23</v>
      </c>
      <c r="G36" s="92">
        <f t="shared" si="8"/>
        <v>13.450292397660819</v>
      </c>
      <c r="H36" s="94">
        <v>31</v>
      </c>
      <c r="I36" s="92">
        <f t="shared" si="9"/>
        <v>17.613636363636363</v>
      </c>
      <c r="J36" s="94">
        <f t="shared" si="10"/>
        <v>80</v>
      </c>
      <c r="K36" s="92">
        <f t="shared" si="11"/>
        <v>16.632016632016633</v>
      </c>
    </row>
    <row r="37" spans="1:11" s="20" customFormat="1" ht="13.5" customHeight="1" x14ac:dyDescent="0.25">
      <c r="A37" s="111" t="s">
        <v>56</v>
      </c>
      <c r="B37" s="94">
        <v>5</v>
      </c>
      <c r="C37" s="92">
        <f t="shared" si="6"/>
        <v>7.8125</v>
      </c>
      <c r="D37" s="94">
        <v>12</v>
      </c>
      <c r="E37" s="92">
        <f t="shared" si="7"/>
        <v>17.142857142857142</v>
      </c>
      <c r="F37" s="94">
        <v>29</v>
      </c>
      <c r="G37" s="92">
        <f t="shared" si="8"/>
        <v>16.959064327485379</v>
      </c>
      <c r="H37" s="94">
        <v>29</v>
      </c>
      <c r="I37" s="92">
        <f t="shared" si="9"/>
        <v>16.477272727272727</v>
      </c>
      <c r="J37" s="94">
        <f t="shared" si="10"/>
        <v>75</v>
      </c>
      <c r="K37" s="92">
        <f t="shared" si="11"/>
        <v>15.592515592515593</v>
      </c>
    </row>
    <row r="38" spans="1:11" s="20" customFormat="1" ht="28.5" customHeight="1" x14ac:dyDescent="0.25">
      <c r="A38" s="111" t="s">
        <v>57</v>
      </c>
      <c r="B38" s="94">
        <v>2</v>
      </c>
      <c r="C38" s="92">
        <f t="shared" si="6"/>
        <v>3.125</v>
      </c>
      <c r="D38" s="94">
        <v>3</v>
      </c>
      <c r="E38" s="92">
        <f t="shared" si="7"/>
        <v>4.2857142857142856</v>
      </c>
      <c r="F38" s="94">
        <v>18</v>
      </c>
      <c r="G38" s="92">
        <f t="shared" si="8"/>
        <v>10.526315789473685</v>
      </c>
      <c r="H38" s="94">
        <v>22</v>
      </c>
      <c r="I38" s="92">
        <f t="shared" si="9"/>
        <v>12.5</v>
      </c>
      <c r="J38" s="94">
        <f t="shared" si="10"/>
        <v>45</v>
      </c>
      <c r="K38" s="92">
        <f t="shared" si="11"/>
        <v>9.3555093555093549</v>
      </c>
    </row>
    <row r="39" spans="1:11" s="20" customFormat="1" ht="13.5" customHeight="1" x14ac:dyDescent="0.25">
      <c r="A39" s="111" t="s">
        <v>51</v>
      </c>
      <c r="B39" s="94">
        <v>3</v>
      </c>
      <c r="C39" s="92">
        <f t="shared" si="6"/>
        <v>4.6875</v>
      </c>
      <c r="D39" s="94">
        <v>8</v>
      </c>
      <c r="E39" s="92">
        <f t="shared" si="7"/>
        <v>11.428571428571429</v>
      </c>
      <c r="F39" s="94">
        <v>14</v>
      </c>
      <c r="G39" s="92">
        <f t="shared" si="8"/>
        <v>8.1871345029239766</v>
      </c>
      <c r="H39" s="94">
        <v>13</v>
      </c>
      <c r="I39" s="92">
        <f t="shared" si="9"/>
        <v>7.3863636363636367</v>
      </c>
      <c r="J39" s="94">
        <f t="shared" si="10"/>
        <v>38</v>
      </c>
      <c r="K39" s="92">
        <f t="shared" si="11"/>
        <v>7.9002079002079002</v>
      </c>
    </row>
    <row r="40" spans="1:11" s="20" customFormat="1" ht="28.5" customHeight="1" x14ac:dyDescent="0.25">
      <c r="A40" s="111" t="s">
        <v>59</v>
      </c>
      <c r="B40" s="94">
        <v>3</v>
      </c>
      <c r="C40" s="92">
        <f t="shared" si="6"/>
        <v>4.6875</v>
      </c>
      <c r="D40" s="94">
        <v>6</v>
      </c>
      <c r="E40" s="92">
        <f t="shared" si="7"/>
        <v>8.5714285714285712</v>
      </c>
      <c r="F40" s="94">
        <v>6</v>
      </c>
      <c r="G40" s="92">
        <f t="shared" si="8"/>
        <v>3.5087719298245612</v>
      </c>
      <c r="H40" s="94">
        <v>15</v>
      </c>
      <c r="I40" s="92">
        <f t="shared" si="9"/>
        <v>8.5227272727272734</v>
      </c>
      <c r="J40" s="94">
        <f t="shared" si="10"/>
        <v>30</v>
      </c>
      <c r="K40" s="92">
        <f t="shared" si="11"/>
        <v>6.2370062370062369</v>
      </c>
    </row>
    <row r="41" spans="1:11" s="20" customFormat="1" ht="28.5" customHeight="1" x14ac:dyDescent="0.25">
      <c r="A41" s="111" t="s">
        <v>54</v>
      </c>
      <c r="B41" s="94">
        <v>3</v>
      </c>
      <c r="C41" s="92">
        <f t="shared" si="6"/>
        <v>4.6875</v>
      </c>
      <c r="D41" s="94">
        <v>3</v>
      </c>
      <c r="E41" s="92">
        <f t="shared" si="7"/>
        <v>4.2857142857142856</v>
      </c>
      <c r="F41" s="94">
        <v>8</v>
      </c>
      <c r="G41" s="92">
        <f t="shared" si="8"/>
        <v>4.6783625730994149</v>
      </c>
      <c r="H41" s="94">
        <v>14</v>
      </c>
      <c r="I41" s="92">
        <f t="shared" si="9"/>
        <v>7.9545454545454541</v>
      </c>
      <c r="J41" s="94">
        <f t="shared" si="10"/>
        <v>28</v>
      </c>
      <c r="K41" s="92">
        <f t="shared" si="11"/>
        <v>5.8212058212058215</v>
      </c>
    </row>
    <row r="42" spans="1:11" s="20" customFormat="1" ht="13.5" customHeight="1" x14ac:dyDescent="0.25">
      <c r="A42" s="111" t="s">
        <v>49</v>
      </c>
      <c r="B42" s="94">
        <v>4</v>
      </c>
      <c r="C42" s="92">
        <f t="shared" si="6"/>
        <v>6.25</v>
      </c>
      <c r="D42" s="94">
        <v>5</v>
      </c>
      <c r="E42" s="92">
        <f t="shared" si="7"/>
        <v>7.1428571428571432</v>
      </c>
      <c r="F42" s="94">
        <v>9</v>
      </c>
      <c r="G42" s="92">
        <f t="shared" si="8"/>
        <v>5.2631578947368425</v>
      </c>
      <c r="H42" s="94">
        <v>7</v>
      </c>
      <c r="I42" s="92">
        <f t="shared" si="9"/>
        <v>3.9772727272727271</v>
      </c>
      <c r="J42" s="94">
        <f t="shared" si="10"/>
        <v>25</v>
      </c>
      <c r="K42" s="92">
        <f t="shared" si="11"/>
        <v>5.1975051975051976</v>
      </c>
    </row>
    <row r="43" spans="1:11" s="20" customFormat="1" ht="13.8" thickBot="1" x14ac:dyDescent="0.3">
      <c r="A43" s="112" t="s">
        <v>111</v>
      </c>
      <c r="B43" s="101">
        <v>0</v>
      </c>
      <c r="C43" s="102">
        <f t="shared" si="6"/>
        <v>0</v>
      </c>
      <c r="D43" s="101">
        <v>0</v>
      </c>
      <c r="E43" s="102">
        <f t="shared" si="7"/>
        <v>0</v>
      </c>
      <c r="F43" s="101">
        <v>0</v>
      </c>
      <c r="G43" s="102">
        <f t="shared" si="8"/>
        <v>0</v>
      </c>
      <c r="H43" s="101">
        <v>0</v>
      </c>
      <c r="I43" s="102">
        <f t="shared" si="9"/>
        <v>0</v>
      </c>
      <c r="J43" s="101">
        <f t="shared" si="10"/>
        <v>0</v>
      </c>
      <c r="K43" s="102">
        <f t="shared" si="11"/>
        <v>0</v>
      </c>
    </row>
    <row r="44" spans="1:11" s="20" customFormat="1" ht="13.5" customHeight="1" x14ac:dyDescent="0.25">
      <c r="A44" s="115" t="s">
        <v>87</v>
      </c>
      <c r="B44" s="25">
        <f>SUM(B31:B43)</f>
        <v>114</v>
      </c>
      <c r="C44" s="25"/>
      <c r="D44" s="25">
        <f>SUM(D31:D43)</f>
        <v>127</v>
      </c>
      <c r="E44" s="25"/>
      <c r="F44" s="25">
        <f>SUM(F31:F43)</f>
        <v>370</v>
      </c>
      <c r="G44" s="25"/>
      <c r="H44" s="25">
        <f>SUM(H31:H43)</f>
        <v>422</v>
      </c>
      <c r="J44" s="25">
        <f>SUM(J31:J43)</f>
        <v>1033</v>
      </c>
    </row>
    <row r="45" spans="1:11" s="20" customFormat="1" x14ac:dyDescent="0.25"/>
    <row r="46" spans="1:11" s="20" customFormat="1" x14ac:dyDescent="0.25"/>
    <row r="47" spans="1:11" s="20" customFormat="1" ht="61.5" customHeight="1" x14ac:dyDescent="0.25">
      <c r="A47" s="229" t="s">
        <v>132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</row>
    <row r="48" spans="1:11" s="20" customFormat="1" ht="13.8" thickBot="1" x14ac:dyDescent="0.3"/>
    <row r="49" spans="1:11" s="20" customFormat="1" ht="36" customHeight="1" thickBot="1" x14ac:dyDescent="0.3">
      <c r="A49" s="226" t="s">
        <v>61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s="20" customFormat="1" x14ac:dyDescent="0.25">
      <c r="A50" s="16"/>
      <c r="B50" s="16"/>
      <c r="C50" s="16"/>
    </row>
    <row r="51" spans="1:11" s="20" customFormat="1" ht="13.5" customHeight="1" x14ac:dyDescent="0.25">
      <c r="A51" s="108"/>
      <c r="B51" s="29" t="s">
        <v>84</v>
      </c>
      <c r="C51" s="18">
        <v>132</v>
      </c>
      <c r="D51" s="29" t="s">
        <v>84</v>
      </c>
      <c r="E51" s="30">
        <v>91</v>
      </c>
      <c r="F51" s="29" t="s">
        <v>84</v>
      </c>
      <c r="G51" s="30">
        <v>147</v>
      </c>
      <c r="H51" s="29" t="s">
        <v>84</v>
      </c>
      <c r="I51" s="30">
        <v>140</v>
      </c>
      <c r="J51" s="29" t="s">
        <v>84</v>
      </c>
      <c r="K51" s="30">
        <f>C51+E51+G51+I51</f>
        <v>510</v>
      </c>
    </row>
    <row r="52" spans="1:11" s="20" customFormat="1" ht="13.5" customHeight="1" x14ac:dyDescent="0.25">
      <c r="A52" s="108"/>
      <c r="B52" s="225" t="s">
        <v>28</v>
      </c>
      <c r="C52" s="225"/>
      <c r="D52" s="225" t="s">
        <v>102</v>
      </c>
      <c r="E52" s="225"/>
      <c r="F52" s="238" t="s">
        <v>103</v>
      </c>
      <c r="G52" s="238"/>
      <c r="H52" s="238" t="s">
        <v>104</v>
      </c>
      <c r="I52" s="238"/>
      <c r="J52" s="238" t="s">
        <v>105</v>
      </c>
      <c r="K52" s="238"/>
    </row>
    <row r="53" spans="1:11" s="20" customFormat="1" ht="13.5" customHeight="1" thickBot="1" x14ac:dyDescent="0.3">
      <c r="A53" s="109" t="s">
        <v>88</v>
      </c>
      <c r="B53" s="98" t="s">
        <v>75</v>
      </c>
      <c r="C53" s="98" t="s">
        <v>26</v>
      </c>
      <c r="D53" s="98" t="s">
        <v>75</v>
      </c>
      <c r="E53" s="98" t="s">
        <v>26</v>
      </c>
      <c r="F53" s="97" t="s">
        <v>75</v>
      </c>
      <c r="G53" s="97" t="s">
        <v>26</v>
      </c>
      <c r="H53" s="98" t="s">
        <v>75</v>
      </c>
      <c r="I53" s="98" t="s">
        <v>26</v>
      </c>
      <c r="J53" s="98" t="s">
        <v>75</v>
      </c>
      <c r="K53" s="98" t="s">
        <v>26</v>
      </c>
    </row>
    <row r="54" spans="1:11" s="20" customFormat="1" ht="13.5" customHeight="1" x14ac:dyDescent="0.25">
      <c r="A54" s="110" t="s">
        <v>65</v>
      </c>
      <c r="B54" s="23">
        <v>48</v>
      </c>
      <c r="C54" s="24">
        <f t="shared" ref="C54:C68" si="12">B54*100/$C$51</f>
        <v>36.363636363636367</v>
      </c>
      <c r="D54" s="23">
        <v>38</v>
      </c>
      <c r="E54" s="24">
        <f t="shared" ref="E54:E68" si="13">D54*100/$E$51</f>
        <v>41.758241758241759</v>
      </c>
      <c r="F54" s="23">
        <v>56</v>
      </c>
      <c r="G54" s="24">
        <f>F54*100/$G$28</f>
        <v>32.748538011695906</v>
      </c>
      <c r="H54" s="23">
        <v>53</v>
      </c>
      <c r="I54" s="24">
        <f>H54*100/$I$28</f>
        <v>30.113636363636363</v>
      </c>
      <c r="J54" s="23">
        <f>B54+D54+F54+H54</f>
        <v>195</v>
      </c>
      <c r="K54" s="24">
        <f>J54*100/$K$28</f>
        <v>40.54054054054054</v>
      </c>
    </row>
    <row r="55" spans="1:11" s="20" customFormat="1" ht="13.5" customHeight="1" x14ac:dyDescent="0.25">
      <c r="A55" s="111" t="s">
        <v>67</v>
      </c>
      <c r="B55" s="94">
        <v>38</v>
      </c>
      <c r="C55" s="92">
        <f t="shared" si="12"/>
        <v>28.787878787878789</v>
      </c>
      <c r="D55" s="94">
        <v>32</v>
      </c>
      <c r="E55" s="92">
        <f t="shared" si="13"/>
        <v>35.164835164835168</v>
      </c>
      <c r="F55" s="94">
        <v>55</v>
      </c>
      <c r="G55" s="92">
        <f t="shared" ref="G55:G68" si="14">F55*100/$G$51</f>
        <v>37.414965986394556</v>
      </c>
      <c r="H55" s="94">
        <v>47</v>
      </c>
      <c r="I55" s="92">
        <f t="shared" ref="I55:I68" si="15">H55*100/$I$28</f>
        <v>26.704545454545453</v>
      </c>
      <c r="J55" s="94">
        <f t="shared" ref="J55:J68" si="16">B55+D55+F55+H55</f>
        <v>172</v>
      </c>
      <c r="K55" s="92">
        <f t="shared" ref="K55:K68" si="17">J55*100/$K$28</f>
        <v>35.758835758835758</v>
      </c>
    </row>
    <row r="56" spans="1:11" s="20" customFormat="1" ht="13.5" customHeight="1" x14ac:dyDescent="0.25">
      <c r="A56" s="111" t="s">
        <v>69</v>
      </c>
      <c r="B56" s="94">
        <v>43</v>
      </c>
      <c r="C56" s="92">
        <f t="shared" si="12"/>
        <v>32.575757575757578</v>
      </c>
      <c r="D56" s="94">
        <v>35</v>
      </c>
      <c r="E56" s="92">
        <f t="shared" si="13"/>
        <v>38.46153846153846</v>
      </c>
      <c r="F56" s="94">
        <v>50</v>
      </c>
      <c r="G56" s="92">
        <f t="shared" si="14"/>
        <v>34.013605442176868</v>
      </c>
      <c r="H56" s="94">
        <v>36</v>
      </c>
      <c r="I56" s="92">
        <f t="shared" si="15"/>
        <v>20.454545454545453</v>
      </c>
      <c r="J56" s="94">
        <f t="shared" si="16"/>
        <v>164</v>
      </c>
      <c r="K56" s="92">
        <f t="shared" si="17"/>
        <v>34.095634095634097</v>
      </c>
    </row>
    <row r="57" spans="1:11" s="20" customFormat="1" ht="28.5" customHeight="1" x14ac:dyDescent="0.25">
      <c r="A57" s="111" t="s">
        <v>64</v>
      </c>
      <c r="B57" s="94">
        <v>23</v>
      </c>
      <c r="C57" s="92">
        <f t="shared" si="12"/>
        <v>17.424242424242426</v>
      </c>
      <c r="D57" s="94">
        <v>18</v>
      </c>
      <c r="E57" s="92">
        <f t="shared" si="13"/>
        <v>19.780219780219781</v>
      </c>
      <c r="F57" s="94">
        <v>39</v>
      </c>
      <c r="G57" s="92">
        <f t="shared" si="14"/>
        <v>26.530612244897959</v>
      </c>
      <c r="H57" s="94">
        <v>59</v>
      </c>
      <c r="I57" s="92">
        <f t="shared" si="15"/>
        <v>33.522727272727273</v>
      </c>
      <c r="J57" s="94">
        <f t="shared" si="16"/>
        <v>139</v>
      </c>
      <c r="K57" s="92">
        <f t="shared" si="17"/>
        <v>28.898128898128899</v>
      </c>
    </row>
    <row r="58" spans="1:11" s="20" customFormat="1" ht="13.5" customHeight="1" x14ac:dyDescent="0.25">
      <c r="A58" s="111" t="s">
        <v>46</v>
      </c>
      <c r="B58" s="94">
        <v>37</v>
      </c>
      <c r="C58" s="92">
        <f t="shared" si="12"/>
        <v>28.030303030303031</v>
      </c>
      <c r="D58" s="94">
        <v>12</v>
      </c>
      <c r="E58" s="92">
        <f t="shared" si="13"/>
        <v>13.186813186813186</v>
      </c>
      <c r="F58" s="94">
        <v>29</v>
      </c>
      <c r="G58" s="92">
        <f t="shared" si="14"/>
        <v>19.727891156462587</v>
      </c>
      <c r="H58" s="94">
        <v>18</v>
      </c>
      <c r="I58" s="92">
        <f t="shared" si="15"/>
        <v>10.227272727272727</v>
      </c>
      <c r="J58" s="94">
        <f t="shared" si="16"/>
        <v>96</v>
      </c>
      <c r="K58" s="92">
        <f t="shared" si="17"/>
        <v>19.95841995841996</v>
      </c>
    </row>
    <row r="59" spans="1:11" s="20" customFormat="1" ht="13.5" customHeight="1" x14ac:dyDescent="0.25">
      <c r="A59" s="111" t="s">
        <v>66</v>
      </c>
      <c r="B59" s="94">
        <v>22</v>
      </c>
      <c r="C59" s="92">
        <f t="shared" si="12"/>
        <v>16.666666666666668</v>
      </c>
      <c r="D59" s="94">
        <v>20</v>
      </c>
      <c r="E59" s="92">
        <f t="shared" si="13"/>
        <v>21.978021978021978</v>
      </c>
      <c r="F59" s="94">
        <v>27</v>
      </c>
      <c r="G59" s="92">
        <f t="shared" si="14"/>
        <v>18.367346938775512</v>
      </c>
      <c r="H59" s="94">
        <v>24</v>
      </c>
      <c r="I59" s="92">
        <f t="shared" si="15"/>
        <v>13.636363636363637</v>
      </c>
      <c r="J59" s="94">
        <f t="shared" si="16"/>
        <v>93</v>
      </c>
      <c r="K59" s="92">
        <f t="shared" si="17"/>
        <v>19.334719334719335</v>
      </c>
    </row>
    <row r="60" spans="1:11" s="20" customFormat="1" ht="28.5" customHeight="1" x14ac:dyDescent="0.25">
      <c r="A60" s="111" t="s">
        <v>63</v>
      </c>
      <c r="B60" s="94">
        <v>19</v>
      </c>
      <c r="C60" s="92">
        <f t="shared" si="12"/>
        <v>14.393939393939394</v>
      </c>
      <c r="D60" s="94">
        <v>10</v>
      </c>
      <c r="E60" s="92">
        <f t="shared" si="13"/>
        <v>10.989010989010989</v>
      </c>
      <c r="F60" s="94">
        <v>31</v>
      </c>
      <c r="G60" s="92">
        <f t="shared" si="14"/>
        <v>21.088435374149661</v>
      </c>
      <c r="H60" s="94">
        <v>30</v>
      </c>
      <c r="I60" s="92">
        <f t="shared" si="15"/>
        <v>17.045454545454547</v>
      </c>
      <c r="J60" s="94">
        <f t="shared" si="16"/>
        <v>90</v>
      </c>
      <c r="K60" s="92">
        <f t="shared" si="17"/>
        <v>18.71101871101871</v>
      </c>
    </row>
    <row r="61" spans="1:11" s="20" customFormat="1" ht="28.5" customHeight="1" x14ac:dyDescent="0.25">
      <c r="A61" s="111" t="s">
        <v>62</v>
      </c>
      <c r="B61" s="94">
        <v>19</v>
      </c>
      <c r="C61" s="92">
        <f t="shared" si="12"/>
        <v>14.393939393939394</v>
      </c>
      <c r="D61" s="94">
        <v>9</v>
      </c>
      <c r="E61" s="92">
        <f t="shared" si="13"/>
        <v>9.8901098901098905</v>
      </c>
      <c r="F61" s="94">
        <v>23</v>
      </c>
      <c r="G61" s="92">
        <f t="shared" si="14"/>
        <v>15.646258503401361</v>
      </c>
      <c r="H61" s="94">
        <v>21</v>
      </c>
      <c r="I61" s="92">
        <f t="shared" si="15"/>
        <v>11.931818181818182</v>
      </c>
      <c r="J61" s="94">
        <f t="shared" si="16"/>
        <v>72</v>
      </c>
      <c r="K61" s="92">
        <f t="shared" si="17"/>
        <v>14.96881496881497</v>
      </c>
    </row>
    <row r="62" spans="1:11" s="20" customFormat="1" ht="28.5" customHeight="1" x14ac:dyDescent="0.25">
      <c r="A62" s="111" t="s">
        <v>71</v>
      </c>
      <c r="B62" s="94">
        <v>15</v>
      </c>
      <c r="C62" s="92">
        <f t="shared" si="12"/>
        <v>11.363636363636363</v>
      </c>
      <c r="D62" s="94">
        <v>8</v>
      </c>
      <c r="E62" s="92">
        <f t="shared" si="13"/>
        <v>8.791208791208792</v>
      </c>
      <c r="F62" s="94">
        <v>26</v>
      </c>
      <c r="G62" s="92">
        <f t="shared" si="14"/>
        <v>17.687074829931973</v>
      </c>
      <c r="H62" s="94">
        <v>19</v>
      </c>
      <c r="I62" s="92">
        <f t="shared" si="15"/>
        <v>10.795454545454545</v>
      </c>
      <c r="J62" s="94">
        <f t="shared" si="16"/>
        <v>68</v>
      </c>
      <c r="K62" s="92">
        <f t="shared" si="17"/>
        <v>14.137214137214137</v>
      </c>
    </row>
    <row r="63" spans="1:11" s="20" customFormat="1" ht="13.5" customHeight="1" x14ac:dyDescent="0.25">
      <c r="A63" s="111" t="s">
        <v>72</v>
      </c>
      <c r="B63" s="94">
        <v>22</v>
      </c>
      <c r="C63" s="92">
        <f t="shared" si="12"/>
        <v>16.666666666666668</v>
      </c>
      <c r="D63" s="94">
        <v>8</v>
      </c>
      <c r="E63" s="92">
        <f t="shared" si="13"/>
        <v>8.791208791208792</v>
      </c>
      <c r="F63" s="94">
        <v>17</v>
      </c>
      <c r="G63" s="92">
        <f t="shared" si="14"/>
        <v>11.564625850340136</v>
      </c>
      <c r="H63" s="94">
        <v>17</v>
      </c>
      <c r="I63" s="92">
        <f t="shared" si="15"/>
        <v>9.6590909090909083</v>
      </c>
      <c r="J63" s="94">
        <f t="shared" si="16"/>
        <v>64</v>
      </c>
      <c r="K63" s="92">
        <f t="shared" si="17"/>
        <v>13.305613305613306</v>
      </c>
    </row>
    <row r="64" spans="1:11" s="20" customFormat="1" ht="13.5" customHeight="1" x14ac:dyDescent="0.25">
      <c r="A64" s="111" t="s">
        <v>68</v>
      </c>
      <c r="B64" s="94">
        <v>14</v>
      </c>
      <c r="C64" s="92">
        <f t="shared" si="12"/>
        <v>10.606060606060606</v>
      </c>
      <c r="D64" s="94">
        <v>6</v>
      </c>
      <c r="E64" s="92">
        <f t="shared" si="13"/>
        <v>6.5934065934065931</v>
      </c>
      <c r="F64" s="94">
        <v>21</v>
      </c>
      <c r="G64" s="92">
        <f t="shared" si="14"/>
        <v>14.285714285714286</v>
      </c>
      <c r="H64" s="94">
        <v>11</v>
      </c>
      <c r="I64" s="92">
        <f t="shared" si="15"/>
        <v>6.25</v>
      </c>
      <c r="J64" s="94">
        <f t="shared" si="16"/>
        <v>52</v>
      </c>
      <c r="K64" s="92">
        <f t="shared" si="17"/>
        <v>10.810810810810811</v>
      </c>
    </row>
    <row r="65" spans="1:11" s="20" customFormat="1" ht="28.5" customHeight="1" x14ac:dyDescent="0.25">
      <c r="A65" s="111" t="s">
        <v>81</v>
      </c>
      <c r="B65" s="94">
        <v>4</v>
      </c>
      <c r="C65" s="92">
        <f t="shared" si="12"/>
        <v>3.0303030303030303</v>
      </c>
      <c r="D65" s="94">
        <v>9</v>
      </c>
      <c r="E65" s="92">
        <f t="shared" si="13"/>
        <v>9.8901098901098905</v>
      </c>
      <c r="F65" s="94">
        <v>7</v>
      </c>
      <c r="G65" s="92">
        <f t="shared" si="14"/>
        <v>4.7619047619047619</v>
      </c>
      <c r="H65" s="94">
        <v>17</v>
      </c>
      <c r="I65" s="92">
        <f t="shared" si="15"/>
        <v>9.6590909090909083</v>
      </c>
      <c r="J65" s="94">
        <f t="shared" si="16"/>
        <v>37</v>
      </c>
      <c r="K65" s="92">
        <f t="shared" si="17"/>
        <v>7.6923076923076925</v>
      </c>
    </row>
    <row r="66" spans="1:11" s="20" customFormat="1" ht="13.5" customHeight="1" x14ac:dyDescent="0.25">
      <c r="A66" s="111" t="s">
        <v>70</v>
      </c>
      <c r="B66" s="94">
        <v>2</v>
      </c>
      <c r="C66" s="92">
        <f t="shared" si="12"/>
        <v>1.5151515151515151</v>
      </c>
      <c r="D66" s="94">
        <v>6</v>
      </c>
      <c r="E66" s="92">
        <f t="shared" si="13"/>
        <v>6.5934065934065931</v>
      </c>
      <c r="F66" s="94">
        <v>7</v>
      </c>
      <c r="G66" s="92">
        <f t="shared" si="14"/>
        <v>4.7619047619047619</v>
      </c>
      <c r="H66" s="94">
        <v>4</v>
      </c>
      <c r="I66" s="92">
        <f t="shared" si="15"/>
        <v>2.2727272727272729</v>
      </c>
      <c r="J66" s="94">
        <f t="shared" si="16"/>
        <v>19</v>
      </c>
      <c r="K66" s="92">
        <f t="shared" si="17"/>
        <v>3.9501039501039501</v>
      </c>
    </row>
    <row r="67" spans="1:11" s="20" customFormat="1" ht="28.5" customHeight="1" x14ac:dyDescent="0.25">
      <c r="A67" s="111" t="s">
        <v>73</v>
      </c>
      <c r="B67" s="94">
        <v>1</v>
      </c>
      <c r="C67" s="92">
        <f t="shared" si="12"/>
        <v>0.75757575757575757</v>
      </c>
      <c r="D67" s="94">
        <v>2</v>
      </c>
      <c r="E67" s="92">
        <f t="shared" si="13"/>
        <v>2.197802197802198</v>
      </c>
      <c r="F67" s="94">
        <v>1</v>
      </c>
      <c r="G67" s="92">
        <f t="shared" si="14"/>
        <v>0.68027210884353739</v>
      </c>
      <c r="H67" s="94">
        <v>6</v>
      </c>
      <c r="I67" s="92">
        <f t="shared" si="15"/>
        <v>3.4090909090909092</v>
      </c>
      <c r="J67" s="94">
        <f t="shared" si="16"/>
        <v>10</v>
      </c>
      <c r="K67" s="92">
        <f t="shared" si="17"/>
        <v>2.0790020790020791</v>
      </c>
    </row>
    <row r="68" spans="1:11" s="20" customFormat="1" ht="13.5" customHeight="1" thickBot="1" x14ac:dyDescent="0.3">
      <c r="A68" s="112" t="s">
        <v>111</v>
      </c>
      <c r="B68" s="101">
        <v>0</v>
      </c>
      <c r="C68" s="102">
        <f t="shared" si="12"/>
        <v>0</v>
      </c>
      <c r="D68" s="101">
        <v>1</v>
      </c>
      <c r="E68" s="102">
        <f t="shared" si="13"/>
        <v>1.098901098901099</v>
      </c>
      <c r="F68" s="101">
        <v>0</v>
      </c>
      <c r="G68" s="102">
        <f t="shared" si="14"/>
        <v>0</v>
      </c>
      <c r="H68" s="101">
        <v>0</v>
      </c>
      <c r="I68" s="102">
        <f t="shared" si="15"/>
        <v>0</v>
      </c>
      <c r="J68" s="101">
        <f t="shared" si="16"/>
        <v>1</v>
      </c>
      <c r="K68" s="102">
        <f t="shared" si="17"/>
        <v>0.20790020790020791</v>
      </c>
    </row>
    <row r="69" spans="1:11" s="20" customFormat="1" ht="13.5" customHeight="1" x14ac:dyDescent="0.25">
      <c r="A69" s="113" t="s">
        <v>87</v>
      </c>
      <c r="B69" s="25">
        <f>SUM(B54:B68)</f>
        <v>307</v>
      </c>
      <c r="C69" s="25"/>
      <c r="D69" s="25">
        <f>SUM(D54:D68)</f>
        <v>214</v>
      </c>
      <c r="E69" s="25"/>
      <c r="F69" s="25">
        <f>SUM(F54:F68)</f>
        <v>389</v>
      </c>
      <c r="G69" s="25"/>
      <c r="H69" s="25">
        <f>SUM(H54:H68)</f>
        <v>362</v>
      </c>
      <c r="J69" s="25">
        <f>SUM(J54:J68)</f>
        <v>1272</v>
      </c>
    </row>
    <row r="70" spans="1:11" s="20" customFormat="1" x14ac:dyDescent="0.25">
      <c r="A70" s="25"/>
    </row>
    <row r="71" spans="1:11" s="20" customFormat="1" x14ac:dyDescent="0.25"/>
    <row r="72" spans="1:11" s="20" customFormat="1" ht="61.5" customHeight="1" x14ac:dyDescent="0.25">
      <c r="A72" s="229" t="s">
        <v>132</v>
      </c>
      <c r="B72" s="229"/>
      <c r="C72" s="229"/>
      <c r="D72" s="229"/>
      <c r="E72" s="229"/>
      <c r="F72" s="229"/>
      <c r="G72" s="229"/>
      <c r="H72" s="229"/>
      <c r="I72" s="229"/>
      <c r="J72" s="229"/>
      <c r="K72" s="229"/>
    </row>
    <row r="73" spans="1:11" s="20" customFormat="1" ht="13.8" thickBot="1" x14ac:dyDescent="0.3"/>
    <row r="74" spans="1:11" s="20" customFormat="1" ht="36" customHeight="1" thickBot="1" x14ac:dyDescent="0.3">
      <c r="A74" s="226" t="s">
        <v>74</v>
      </c>
      <c r="B74" s="227"/>
      <c r="C74" s="227"/>
      <c r="D74" s="227"/>
      <c r="E74" s="227"/>
      <c r="F74" s="227"/>
      <c r="G74" s="227"/>
      <c r="H74" s="227"/>
      <c r="I74" s="227"/>
      <c r="J74" s="227"/>
      <c r="K74" s="228"/>
    </row>
    <row r="75" spans="1:11" s="20" customFormat="1" x14ac:dyDescent="0.25">
      <c r="A75" s="16"/>
      <c r="B75" s="16"/>
      <c r="C75" s="16"/>
    </row>
    <row r="76" spans="1:11" s="20" customFormat="1" ht="13.5" customHeight="1" x14ac:dyDescent="0.25">
      <c r="A76" s="108"/>
      <c r="B76" s="29" t="s">
        <v>84</v>
      </c>
      <c r="C76" s="18">
        <v>513</v>
      </c>
      <c r="D76" s="29" t="s">
        <v>84</v>
      </c>
      <c r="E76" s="30">
        <v>365</v>
      </c>
      <c r="F76" s="29" t="s">
        <v>84</v>
      </c>
      <c r="G76" s="30">
        <f>C76+E76</f>
        <v>878</v>
      </c>
      <c r="H76" s="29"/>
      <c r="I76" s="30"/>
    </row>
    <row r="77" spans="1:11" s="20" customFormat="1" ht="13.5" customHeight="1" x14ac:dyDescent="0.25">
      <c r="A77" s="108"/>
      <c r="B77" s="225" t="s">
        <v>0</v>
      </c>
      <c r="C77" s="225"/>
      <c r="D77" s="225" t="s">
        <v>106</v>
      </c>
      <c r="E77" s="225"/>
      <c r="F77" s="238" t="s">
        <v>105</v>
      </c>
      <c r="G77" s="238"/>
      <c r="H77" s="225"/>
      <c r="I77" s="225"/>
    </row>
    <row r="78" spans="1:11" s="20" customFormat="1" ht="13.5" customHeight="1" thickBot="1" x14ac:dyDescent="0.3">
      <c r="A78" s="109" t="s">
        <v>88</v>
      </c>
      <c r="B78" s="98" t="s">
        <v>75</v>
      </c>
      <c r="C78" s="98" t="s">
        <v>26</v>
      </c>
      <c r="D78" s="98" t="s">
        <v>75</v>
      </c>
      <c r="E78" s="98" t="s">
        <v>26</v>
      </c>
      <c r="F78" s="98" t="s">
        <v>75</v>
      </c>
      <c r="G78" s="98" t="s">
        <v>26</v>
      </c>
      <c r="H78" s="21"/>
      <c r="I78" s="21"/>
    </row>
    <row r="79" spans="1:11" s="20" customFormat="1" ht="13.5" customHeight="1" x14ac:dyDescent="0.25">
      <c r="A79" s="110" t="s">
        <v>38</v>
      </c>
      <c r="B79" s="23">
        <v>399</v>
      </c>
      <c r="C79" s="24">
        <f>B79*100/$C$76</f>
        <v>77.777777777777771</v>
      </c>
      <c r="D79" s="23">
        <v>290</v>
      </c>
      <c r="E79" s="24">
        <f>D79*100/$E$76</f>
        <v>79.452054794520549</v>
      </c>
      <c r="F79" s="23">
        <f>B79+D79</f>
        <v>689</v>
      </c>
      <c r="G79" s="24">
        <f>F79*100/$G$76</f>
        <v>78.473804100227795</v>
      </c>
      <c r="H79" s="36"/>
      <c r="I79" s="36"/>
    </row>
    <row r="80" spans="1:11" s="20" customFormat="1" ht="28.5" customHeight="1" x14ac:dyDescent="0.25">
      <c r="A80" s="111" t="s">
        <v>37</v>
      </c>
      <c r="B80" s="94">
        <v>207</v>
      </c>
      <c r="C80" s="92">
        <f t="shared" ref="C80:C91" si="18">B80*100/$C$76</f>
        <v>40.350877192982459</v>
      </c>
      <c r="D80" s="94">
        <v>172</v>
      </c>
      <c r="E80" s="92">
        <f t="shared" ref="E80:E91" si="19">D80*100/$E$76</f>
        <v>47.123287671232873</v>
      </c>
      <c r="F80" s="94">
        <f t="shared" ref="F80:F91" si="20">B80+D80</f>
        <v>379</v>
      </c>
      <c r="G80" s="92">
        <f t="shared" ref="G80:G91" si="21">F80*100/$G$76</f>
        <v>43.166287015945329</v>
      </c>
    </row>
    <row r="81" spans="1:7" s="20" customFormat="1" ht="13.5" customHeight="1" x14ac:dyDescent="0.25">
      <c r="A81" s="111" t="s">
        <v>112</v>
      </c>
      <c r="B81" s="94">
        <v>164</v>
      </c>
      <c r="C81" s="92">
        <f t="shared" si="18"/>
        <v>31.968810916179336</v>
      </c>
      <c r="D81" s="94">
        <v>138</v>
      </c>
      <c r="E81" s="92">
        <f t="shared" si="19"/>
        <v>37.80821917808219</v>
      </c>
      <c r="F81" s="94">
        <f t="shared" si="20"/>
        <v>302</v>
      </c>
      <c r="G81" s="92">
        <f t="shared" si="21"/>
        <v>34.396355353075172</v>
      </c>
    </row>
    <row r="82" spans="1:7" s="20" customFormat="1" ht="13.5" customHeight="1" x14ac:dyDescent="0.25">
      <c r="A82" s="111" t="s">
        <v>41</v>
      </c>
      <c r="B82" s="94">
        <v>153</v>
      </c>
      <c r="C82" s="92">
        <f t="shared" si="18"/>
        <v>29.82456140350877</v>
      </c>
      <c r="D82" s="94">
        <v>129</v>
      </c>
      <c r="E82" s="92">
        <f t="shared" si="19"/>
        <v>35.342465753424655</v>
      </c>
      <c r="F82" s="94">
        <f t="shared" si="20"/>
        <v>282</v>
      </c>
      <c r="G82" s="92">
        <f t="shared" si="21"/>
        <v>32.118451025056949</v>
      </c>
    </row>
    <row r="83" spans="1:7" s="20" customFormat="1" ht="13.5" customHeight="1" x14ac:dyDescent="0.25">
      <c r="A83" s="111" t="s">
        <v>39</v>
      </c>
      <c r="B83" s="94">
        <v>118</v>
      </c>
      <c r="C83" s="92">
        <f t="shared" si="18"/>
        <v>23.001949317738791</v>
      </c>
      <c r="D83" s="94">
        <v>87</v>
      </c>
      <c r="E83" s="92">
        <f t="shared" si="19"/>
        <v>23.835616438356166</v>
      </c>
      <c r="F83" s="94">
        <f t="shared" si="20"/>
        <v>205</v>
      </c>
      <c r="G83" s="92">
        <f t="shared" si="21"/>
        <v>23.348519362186789</v>
      </c>
    </row>
    <row r="84" spans="1:7" s="20" customFormat="1" ht="13.5" customHeight="1" x14ac:dyDescent="0.25">
      <c r="A84" s="111" t="s">
        <v>40</v>
      </c>
      <c r="B84" s="94">
        <v>97</v>
      </c>
      <c r="C84" s="92">
        <f t="shared" si="18"/>
        <v>18.908382066276804</v>
      </c>
      <c r="D84" s="94">
        <v>85</v>
      </c>
      <c r="E84" s="92">
        <f t="shared" si="19"/>
        <v>23.287671232876711</v>
      </c>
      <c r="F84" s="94">
        <f t="shared" si="20"/>
        <v>182</v>
      </c>
      <c r="G84" s="92">
        <f t="shared" si="21"/>
        <v>20.728929384965831</v>
      </c>
    </row>
    <row r="85" spans="1:7" s="20" customFormat="1" ht="28.5" customHeight="1" x14ac:dyDescent="0.25">
      <c r="A85" s="111" t="s">
        <v>114</v>
      </c>
      <c r="B85" s="94">
        <v>89</v>
      </c>
      <c r="C85" s="92">
        <f t="shared" si="18"/>
        <v>17.348927875243664</v>
      </c>
      <c r="D85" s="94">
        <v>86</v>
      </c>
      <c r="E85" s="92">
        <f t="shared" si="19"/>
        <v>23.561643835616437</v>
      </c>
      <c r="F85" s="94">
        <f t="shared" si="20"/>
        <v>175</v>
      </c>
      <c r="G85" s="92">
        <f t="shared" si="21"/>
        <v>19.931662870159453</v>
      </c>
    </row>
    <row r="86" spans="1:7" s="20" customFormat="1" ht="28.5" customHeight="1" x14ac:dyDescent="0.25">
      <c r="A86" s="111" t="s">
        <v>45</v>
      </c>
      <c r="B86" s="94">
        <v>73</v>
      </c>
      <c r="C86" s="92">
        <f t="shared" si="18"/>
        <v>14.230019493177387</v>
      </c>
      <c r="D86" s="94">
        <v>95</v>
      </c>
      <c r="E86" s="92">
        <f t="shared" si="19"/>
        <v>26.027397260273972</v>
      </c>
      <c r="F86" s="94">
        <f t="shared" si="20"/>
        <v>168</v>
      </c>
      <c r="G86" s="92">
        <f t="shared" si="21"/>
        <v>19.134396355353076</v>
      </c>
    </row>
    <row r="87" spans="1:7" s="20" customFormat="1" ht="28.5" customHeight="1" x14ac:dyDescent="0.25">
      <c r="A87" s="111" t="s">
        <v>80</v>
      </c>
      <c r="B87" s="94">
        <v>79</v>
      </c>
      <c r="C87" s="92">
        <f t="shared" si="18"/>
        <v>15.399610136452242</v>
      </c>
      <c r="D87" s="94">
        <v>71</v>
      </c>
      <c r="E87" s="92">
        <f t="shared" si="19"/>
        <v>19.452054794520549</v>
      </c>
      <c r="F87" s="94">
        <f t="shared" si="20"/>
        <v>150</v>
      </c>
      <c r="G87" s="92">
        <f t="shared" si="21"/>
        <v>17.084282460136674</v>
      </c>
    </row>
    <row r="88" spans="1:7" s="20" customFormat="1" ht="13.5" customHeight="1" x14ac:dyDescent="0.25">
      <c r="A88" s="111" t="s">
        <v>44</v>
      </c>
      <c r="B88" s="94">
        <v>82</v>
      </c>
      <c r="C88" s="92">
        <f t="shared" si="18"/>
        <v>15.984405458089668</v>
      </c>
      <c r="D88" s="94">
        <v>63</v>
      </c>
      <c r="E88" s="92">
        <f t="shared" si="19"/>
        <v>17.260273972602739</v>
      </c>
      <c r="F88" s="94">
        <f t="shared" si="20"/>
        <v>145</v>
      </c>
      <c r="G88" s="92">
        <f t="shared" si="21"/>
        <v>16.514806378132118</v>
      </c>
    </row>
    <row r="89" spans="1:7" s="20" customFormat="1" ht="13.5" customHeight="1" x14ac:dyDescent="0.25">
      <c r="A89" s="111" t="s">
        <v>42</v>
      </c>
      <c r="B89" s="94">
        <v>77</v>
      </c>
      <c r="C89" s="92">
        <f t="shared" si="18"/>
        <v>15.009746588693957</v>
      </c>
      <c r="D89" s="94">
        <v>61</v>
      </c>
      <c r="E89" s="92">
        <f t="shared" si="19"/>
        <v>16.712328767123289</v>
      </c>
      <c r="F89" s="94">
        <f t="shared" si="20"/>
        <v>138</v>
      </c>
      <c r="G89" s="92">
        <f t="shared" si="21"/>
        <v>15.71753986332574</v>
      </c>
    </row>
    <row r="90" spans="1:7" s="20" customFormat="1" ht="13.5" customHeight="1" x14ac:dyDescent="0.25">
      <c r="A90" s="111" t="s">
        <v>46</v>
      </c>
      <c r="B90" s="94">
        <v>42</v>
      </c>
      <c r="C90" s="92">
        <f t="shared" si="18"/>
        <v>8.1871345029239766</v>
      </c>
      <c r="D90" s="94">
        <v>36</v>
      </c>
      <c r="E90" s="92">
        <f t="shared" si="19"/>
        <v>9.8630136986301373</v>
      </c>
      <c r="F90" s="94">
        <f t="shared" si="20"/>
        <v>78</v>
      </c>
      <c r="G90" s="92">
        <f t="shared" si="21"/>
        <v>8.8838268792710711</v>
      </c>
    </row>
    <row r="91" spans="1:7" s="20" customFormat="1" ht="13.5" customHeight="1" thickBot="1" x14ac:dyDescent="0.3">
      <c r="A91" s="112" t="s">
        <v>111</v>
      </c>
      <c r="B91" s="101">
        <v>20</v>
      </c>
      <c r="C91" s="102">
        <f t="shared" si="18"/>
        <v>3.8986354775828458</v>
      </c>
      <c r="D91" s="101">
        <v>12</v>
      </c>
      <c r="E91" s="102">
        <f t="shared" si="19"/>
        <v>3.2876712328767121</v>
      </c>
      <c r="F91" s="101">
        <f t="shared" si="20"/>
        <v>32</v>
      </c>
      <c r="G91" s="102">
        <f t="shared" si="21"/>
        <v>3.6446469248291571</v>
      </c>
    </row>
    <row r="92" spans="1:7" s="20" customFormat="1" ht="13.5" customHeight="1" x14ac:dyDescent="0.25">
      <c r="A92" s="113" t="s">
        <v>87</v>
      </c>
      <c r="B92" s="25">
        <f>SUM(B79:B91)</f>
        <v>1600</v>
      </c>
      <c r="C92" s="25"/>
      <c r="D92" s="25">
        <f>SUM(D79:D91)</f>
        <v>1325</v>
      </c>
      <c r="E92" s="25"/>
      <c r="F92" s="25">
        <f>SUM(F79:F91)</f>
        <v>2925</v>
      </c>
      <c r="G92" s="25"/>
    </row>
  </sheetData>
  <mergeCells count="27">
    <mergeCell ref="J52:K52"/>
    <mergeCell ref="A72:K72"/>
    <mergeCell ref="A74:K74"/>
    <mergeCell ref="B77:C77"/>
    <mergeCell ref="D77:E77"/>
    <mergeCell ref="H77:I77"/>
    <mergeCell ref="F77:G77"/>
    <mergeCell ref="B52:C52"/>
    <mergeCell ref="H52:I52"/>
    <mergeCell ref="D52:E52"/>
    <mergeCell ref="A3:K3"/>
    <mergeCell ref="A1:K1"/>
    <mergeCell ref="A24:K24"/>
    <mergeCell ref="A26:K26"/>
    <mergeCell ref="H6:I6"/>
    <mergeCell ref="J6:K6"/>
    <mergeCell ref="B6:C6"/>
    <mergeCell ref="F52:G52"/>
    <mergeCell ref="D6:E6"/>
    <mergeCell ref="B29:C29"/>
    <mergeCell ref="D29:E29"/>
    <mergeCell ref="F6:G6"/>
    <mergeCell ref="F29:G29"/>
    <mergeCell ref="A47:K47"/>
    <mergeCell ref="A49:K49"/>
    <mergeCell ref="H29:I29"/>
    <mergeCell ref="J29:K29"/>
  </mergeCells>
  <phoneticPr fontId="2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  <rowBreaks count="3" manualBreakCount="3">
    <brk id="23" max="16383" man="1"/>
    <brk id="46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10" workbookViewId="0">
      <selection activeCell="I2" sqref="I2"/>
    </sheetView>
  </sheetViews>
  <sheetFormatPr baseColWidth="10" defaultRowHeight="13.2" x14ac:dyDescent="0.25"/>
  <cols>
    <col min="1" max="1" width="45.44140625" customWidth="1"/>
    <col min="2" max="2" width="8.6640625" bestFit="1" customWidth="1"/>
    <col min="3" max="3" width="8" bestFit="1" customWidth="1"/>
    <col min="4" max="4" width="7.5546875" bestFit="1" customWidth="1"/>
    <col min="5" max="5" width="8" bestFit="1" customWidth="1"/>
    <col min="6" max="7" width="8.6640625" bestFit="1" customWidth="1"/>
    <col min="8" max="8" width="15.33203125" bestFit="1" customWidth="1"/>
  </cols>
  <sheetData>
    <row r="1" spans="1:8" s="20" customFormat="1" ht="61.5" customHeight="1" x14ac:dyDescent="0.25">
      <c r="A1" s="229" t="s">
        <v>132</v>
      </c>
      <c r="B1" s="229"/>
      <c r="C1" s="229"/>
      <c r="D1" s="229"/>
      <c r="E1" s="229"/>
      <c r="F1" s="229"/>
      <c r="G1" s="229"/>
    </row>
    <row r="2" spans="1:8" s="20" customFormat="1" ht="13.8" thickBot="1" x14ac:dyDescent="0.3"/>
    <row r="3" spans="1:8" s="27" customFormat="1" ht="54" customHeight="1" thickBot="1" x14ac:dyDescent="0.3">
      <c r="A3" s="226" t="s">
        <v>86</v>
      </c>
      <c r="B3" s="227"/>
      <c r="C3" s="227"/>
      <c r="D3" s="227"/>
      <c r="E3" s="227"/>
      <c r="F3" s="227"/>
      <c r="G3" s="228"/>
      <c r="H3" s="142"/>
    </row>
    <row r="4" spans="1:8" s="27" customFormat="1" ht="15.6" x14ac:dyDescent="0.25">
      <c r="A4" s="143"/>
      <c r="B4" s="143"/>
      <c r="C4" s="143"/>
      <c r="D4" s="143"/>
      <c r="E4" s="143"/>
      <c r="F4" s="143"/>
      <c r="G4" s="143"/>
      <c r="H4" s="142"/>
    </row>
    <row r="5" spans="1:8" s="28" customFormat="1" ht="13.5" customHeight="1" x14ac:dyDescent="0.25">
      <c r="A5" s="16"/>
      <c r="H5" s="144" t="s">
        <v>124</v>
      </c>
    </row>
    <row r="6" spans="1:8" s="28" customFormat="1" ht="13.5" customHeight="1" x14ac:dyDescent="0.25">
      <c r="A6" s="108"/>
      <c r="B6" s="164" t="s">
        <v>84</v>
      </c>
      <c r="C6" s="30">
        <v>107</v>
      </c>
      <c r="D6" s="29" t="s">
        <v>84</v>
      </c>
      <c r="E6" s="30">
        <v>52</v>
      </c>
      <c r="F6" s="29" t="s">
        <v>84</v>
      </c>
      <c r="G6" s="30">
        <f>C6+E6</f>
        <v>159</v>
      </c>
      <c r="H6" s="145" t="s">
        <v>119</v>
      </c>
    </row>
    <row r="7" spans="1:8" s="28" customFormat="1" ht="13.5" customHeight="1" x14ac:dyDescent="0.25">
      <c r="A7" s="108"/>
      <c r="B7" s="238" t="s">
        <v>121</v>
      </c>
      <c r="C7" s="238"/>
      <c r="D7" s="238" t="s">
        <v>104</v>
      </c>
      <c r="E7" s="238"/>
      <c r="F7" s="238" t="s">
        <v>105</v>
      </c>
      <c r="G7" s="238"/>
      <c r="H7" s="146" t="s">
        <v>123</v>
      </c>
    </row>
    <row r="8" spans="1:8" s="20" customFormat="1" ht="13.5" customHeight="1" thickBot="1" x14ac:dyDescent="0.3">
      <c r="A8" s="109" t="s">
        <v>88</v>
      </c>
      <c r="B8" s="97" t="s">
        <v>75</v>
      </c>
      <c r="C8" s="97" t="s">
        <v>26</v>
      </c>
      <c r="D8" s="98" t="s">
        <v>75</v>
      </c>
      <c r="E8" s="98" t="s">
        <v>26</v>
      </c>
      <c r="F8" s="98" t="s">
        <v>75</v>
      </c>
      <c r="G8" s="98" t="s">
        <v>26</v>
      </c>
      <c r="H8" s="147" t="s">
        <v>122</v>
      </c>
    </row>
    <row r="9" spans="1:8" s="20" customFormat="1" ht="13.5" customHeight="1" x14ac:dyDescent="0.25">
      <c r="A9" s="110" t="s">
        <v>38</v>
      </c>
      <c r="B9" s="137">
        <v>78</v>
      </c>
      <c r="C9" s="24">
        <f>B9*100/$C$6</f>
        <v>72.89719626168224</v>
      </c>
      <c r="D9" s="23">
        <v>39</v>
      </c>
      <c r="E9" s="24">
        <f t="shared" ref="E9:E21" si="0">D9*100/$E$6</f>
        <v>75</v>
      </c>
      <c r="F9" s="137">
        <f>B9+D9</f>
        <v>117</v>
      </c>
      <c r="G9" s="24">
        <f>F9*100/$G$6</f>
        <v>73.584905660377359</v>
      </c>
      <c r="H9" s="151">
        <f>C9-E9</f>
        <v>-2.1028037383177605</v>
      </c>
    </row>
    <row r="10" spans="1:8" s="20" customFormat="1" ht="13.5" customHeight="1" x14ac:dyDescent="0.25">
      <c r="A10" s="111" t="s">
        <v>113</v>
      </c>
      <c r="B10" s="137">
        <v>45</v>
      </c>
      <c r="C10" s="24">
        <f t="shared" ref="C10:C21" si="1">B10*100/$C$6</f>
        <v>42.056074766355138</v>
      </c>
      <c r="D10" s="94">
        <v>19</v>
      </c>
      <c r="E10" s="92">
        <f t="shared" si="0"/>
        <v>36.53846153846154</v>
      </c>
      <c r="F10" s="137">
        <f t="shared" ref="F10:F21" si="2">B10+D10</f>
        <v>64</v>
      </c>
      <c r="G10" s="24">
        <f t="shared" ref="G10:G21" si="3">F10*100/$G$6</f>
        <v>40.251572327044023</v>
      </c>
      <c r="H10" s="152">
        <f t="shared" ref="H10:H21" si="4">C10-E10</f>
        <v>5.5176132278935981</v>
      </c>
    </row>
    <row r="11" spans="1:8" s="20" customFormat="1" ht="13.5" customHeight="1" x14ac:dyDescent="0.25">
      <c r="A11" s="116" t="s">
        <v>40</v>
      </c>
      <c r="B11" s="137">
        <v>40</v>
      </c>
      <c r="C11" s="24">
        <f t="shared" si="1"/>
        <v>37.383177570093459</v>
      </c>
      <c r="D11" s="94">
        <v>21</v>
      </c>
      <c r="E11" s="92">
        <f t="shared" si="0"/>
        <v>40.384615384615387</v>
      </c>
      <c r="F11" s="137">
        <f t="shared" si="2"/>
        <v>61</v>
      </c>
      <c r="G11" s="24">
        <f t="shared" si="3"/>
        <v>38.364779874213838</v>
      </c>
      <c r="H11" s="153">
        <f t="shared" si="4"/>
        <v>-3.0014378145219283</v>
      </c>
    </row>
    <row r="12" spans="1:8" s="20" customFormat="1" ht="13.5" customHeight="1" x14ac:dyDescent="0.25">
      <c r="A12" s="116" t="s">
        <v>41</v>
      </c>
      <c r="B12" s="137">
        <v>32</v>
      </c>
      <c r="C12" s="24">
        <f t="shared" si="1"/>
        <v>29.906542056074766</v>
      </c>
      <c r="D12" s="94">
        <v>9</v>
      </c>
      <c r="E12" s="92">
        <f t="shared" si="0"/>
        <v>17.307692307692307</v>
      </c>
      <c r="F12" s="137">
        <f t="shared" si="2"/>
        <v>41</v>
      </c>
      <c r="G12" s="24">
        <f t="shared" si="3"/>
        <v>25.786163522012579</v>
      </c>
      <c r="H12" s="152">
        <f t="shared" si="4"/>
        <v>12.59884974838246</v>
      </c>
    </row>
    <row r="13" spans="1:8" s="20" customFormat="1" ht="28.5" customHeight="1" x14ac:dyDescent="0.25">
      <c r="A13" s="116" t="s">
        <v>37</v>
      </c>
      <c r="B13" s="137">
        <v>25</v>
      </c>
      <c r="C13" s="24">
        <f t="shared" si="1"/>
        <v>23.364485981308412</v>
      </c>
      <c r="D13" s="94">
        <v>11</v>
      </c>
      <c r="E13" s="92">
        <f t="shared" si="0"/>
        <v>21.153846153846153</v>
      </c>
      <c r="F13" s="137">
        <f t="shared" si="2"/>
        <v>36</v>
      </c>
      <c r="G13" s="24">
        <f t="shared" si="3"/>
        <v>22.641509433962263</v>
      </c>
      <c r="H13" s="153">
        <f t="shared" si="4"/>
        <v>2.2106398274622592</v>
      </c>
    </row>
    <row r="14" spans="1:8" s="20" customFormat="1" ht="13.5" customHeight="1" x14ac:dyDescent="0.25">
      <c r="A14" s="116" t="s">
        <v>39</v>
      </c>
      <c r="B14" s="137">
        <v>25</v>
      </c>
      <c r="C14" s="24">
        <f t="shared" si="1"/>
        <v>23.364485981308412</v>
      </c>
      <c r="D14" s="94">
        <v>12</v>
      </c>
      <c r="E14" s="92">
        <f t="shared" si="0"/>
        <v>23.076923076923077</v>
      </c>
      <c r="F14" s="137">
        <f t="shared" si="2"/>
        <v>37</v>
      </c>
      <c r="G14" s="24">
        <f t="shared" si="3"/>
        <v>23.270440251572328</v>
      </c>
      <c r="H14" s="153">
        <f t="shared" si="4"/>
        <v>0.28756290438533583</v>
      </c>
    </row>
    <row r="15" spans="1:8" s="20" customFormat="1" ht="28.5" customHeight="1" x14ac:dyDescent="0.25">
      <c r="A15" s="116" t="s">
        <v>45</v>
      </c>
      <c r="B15" s="137">
        <v>20</v>
      </c>
      <c r="C15" s="24">
        <f t="shared" si="1"/>
        <v>18.691588785046729</v>
      </c>
      <c r="D15" s="94">
        <v>6</v>
      </c>
      <c r="E15" s="92">
        <f t="shared" si="0"/>
        <v>11.538461538461538</v>
      </c>
      <c r="F15" s="137">
        <f t="shared" si="2"/>
        <v>26</v>
      </c>
      <c r="G15" s="24">
        <f t="shared" si="3"/>
        <v>16.352201257861637</v>
      </c>
      <c r="H15" s="152">
        <f t="shared" si="4"/>
        <v>7.1531272465851909</v>
      </c>
    </row>
    <row r="16" spans="1:8" s="20" customFormat="1" ht="28.5" customHeight="1" x14ac:dyDescent="0.25">
      <c r="A16" s="116" t="s">
        <v>114</v>
      </c>
      <c r="B16" s="137">
        <v>22</v>
      </c>
      <c r="C16" s="24">
        <f t="shared" si="1"/>
        <v>20.560747663551403</v>
      </c>
      <c r="D16" s="94">
        <v>3</v>
      </c>
      <c r="E16" s="92">
        <f t="shared" si="0"/>
        <v>5.7692307692307692</v>
      </c>
      <c r="F16" s="137">
        <f t="shared" si="2"/>
        <v>25</v>
      </c>
      <c r="G16" s="24">
        <f t="shared" si="3"/>
        <v>15.723270440251572</v>
      </c>
      <c r="H16" s="152">
        <f t="shared" si="4"/>
        <v>14.791516894320633</v>
      </c>
    </row>
    <row r="17" spans="1:8" s="20" customFormat="1" ht="13.5" customHeight="1" x14ac:dyDescent="0.25">
      <c r="A17" s="116" t="s">
        <v>44</v>
      </c>
      <c r="B17" s="137">
        <v>16</v>
      </c>
      <c r="C17" s="24">
        <f t="shared" si="1"/>
        <v>14.953271028037383</v>
      </c>
      <c r="D17" s="94">
        <v>7</v>
      </c>
      <c r="E17" s="92">
        <f t="shared" si="0"/>
        <v>13.461538461538462</v>
      </c>
      <c r="F17" s="137">
        <f t="shared" si="2"/>
        <v>23</v>
      </c>
      <c r="G17" s="24">
        <f t="shared" si="3"/>
        <v>14.465408805031446</v>
      </c>
      <c r="H17" s="153">
        <f t="shared" si="4"/>
        <v>1.4917325664989214</v>
      </c>
    </row>
    <row r="18" spans="1:8" s="20" customFormat="1" ht="28.5" customHeight="1" x14ac:dyDescent="0.25">
      <c r="A18" s="116" t="s">
        <v>80</v>
      </c>
      <c r="B18" s="137">
        <v>17</v>
      </c>
      <c r="C18" s="24">
        <f t="shared" si="1"/>
        <v>15.88785046728972</v>
      </c>
      <c r="D18" s="94">
        <v>3</v>
      </c>
      <c r="E18" s="92">
        <f t="shared" si="0"/>
        <v>5.7692307692307692</v>
      </c>
      <c r="F18" s="137">
        <f t="shared" si="2"/>
        <v>20</v>
      </c>
      <c r="G18" s="24">
        <f t="shared" si="3"/>
        <v>12.578616352201259</v>
      </c>
      <c r="H18" s="152">
        <f t="shared" si="4"/>
        <v>10.11861969805895</v>
      </c>
    </row>
    <row r="19" spans="1:8" s="20" customFormat="1" ht="13.5" customHeight="1" x14ac:dyDescent="0.25">
      <c r="A19" s="116" t="s">
        <v>42</v>
      </c>
      <c r="B19" s="137">
        <v>13</v>
      </c>
      <c r="C19" s="24">
        <f t="shared" si="1"/>
        <v>12.149532710280374</v>
      </c>
      <c r="D19" s="94">
        <v>8</v>
      </c>
      <c r="E19" s="92">
        <f t="shared" si="0"/>
        <v>15.384615384615385</v>
      </c>
      <c r="F19" s="137">
        <f t="shared" si="2"/>
        <v>21</v>
      </c>
      <c r="G19" s="24">
        <f t="shared" si="3"/>
        <v>13.20754716981132</v>
      </c>
      <c r="H19" s="153">
        <f t="shared" si="4"/>
        <v>-3.2350826743350112</v>
      </c>
    </row>
    <row r="20" spans="1:8" s="20" customFormat="1" ht="13.5" customHeight="1" x14ac:dyDescent="0.25">
      <c r="A20" s="116" t="s">
        <v>111</v>
      </c>
      <c r="B20" s="137">
        <v>10</v>
      </c>
      <c r="C20" s="24">
        <f t="shared" si="1"/>
        <v>9.3457943925233646</v>
      </c>
      <c r="D20" s="94">
        <v>7</v>
      </c>
      <c r="E20" s="92">
        <f t="shared" si="0"/>
        <v>13.461538461538462</v>
      </c>
      <c r="F20" s="137">
        <f t="shared" si="2"/>
        <v>17</v>
      </c>
      <c r="G20" s="24">
        <f t="shared" si="3"/>
        <v>10.691823899371069</v>
      </c>
      <c r="H20" s="153">
        <f t="shared" si="4"/>
        <v>-4.115744069015097</v>
      </c>
    </row>
    <row r="21" spans="1:8" s="20" customFormat="1" ht="13.5" customHeight="1" thickBot="1" x14ac:dyDescent="0.3">
      <c r="A21" s="117" t="s">
        <v>46</v>
      </c>
      <c r="B21" s="138">
        <v>4</v>
      </c>
      <c r="C21" s="102">
        <f t="shared" si="1"/>
        <v>3.7383177570093458</v>
      </c>
      <c r="D21" s="101">
        <v>5</v>
      </c>
      <c r="E21" s="102">
        <f t="shared" si="0"/>
        <v>9.615384615384615</v>
      </c>
      <c r="F21" s="138">
        <f t="shared" si="2"/>
        <v>9</v>
      </c>
      <c r="G21" s="102">
        <f t="shared" si="3"/>
        <v>5.6603773584905657</v>
      </c>
      <c r="H21" s="154">
        <f t="shared" si="4"/>
        <v>-5.8770668583752688</v>
      </c>
    </row>
    <row r="22" spans="1:8" s="20" customFormat="1" ht="13.5" customHeight="1" x14ac:dyDescent="0.25">
      <c r="A22" s="113" t="s">
        <v>87</v>
      </c>
      <c r="B22" s="140">
        <f>SUM(B9:B21)</f>
        <v>347</v>
      </c>
      <c r="C22" s="139"/>
      <c r="D22" s="25">
        <f>SUM(D9:D21)</f>
        <v>150</v>
      </c>
      <c r="F22" s="141">
        <f>SUM(F9:F21)</f>
        <v>497</v>
      </c>
      <c r="H22" s="148"/>
    </row>
    <row r="23" spans="1:8" s="20" customFormat="1" x14ac:dyDescent="0.25">
      <c r="A23" s="25"/>
      <c r="C23" s="36"/>
    </row>
    <row r="24" spans="1:8" s="20" customFormat="1" x14ac:dyDescent="0.25">
      <c r="A24" s="25"/>
    </row>
    <row r="25" spans="1:8" s="20" customFormat="1" ht="61.5" customHeight="1" x14ac:dyDescent="0.25">
      <c r="A25" s="229" t="s">
        <v>132</v>
      </c>
      <c r="B25" s="229"/>
      <c r="C25" s="229"/>
      <c r="D25" s="229"/>
      <c r="E25" s="229"/>
      <c r="F25" s="229"/>
      <c r="G25" s="229"/>
    </row>
    <row r="26" spans="1:8" s="20" customFormat="1" ht="13.8" thickBot="1" x14ac:dyDescent="0.3"/>
    <row r="27" spans="1:8" s="20" customFormat="1" ht="36" customHeight="1" thickBot="1" x14ac:dyDescent="0.3">
      <c r="A27" s="226" t="s">
        <v>60</v>
      </c>
      <c r="B27" s="227"/>
      <c r="C27" s="227"/>
      <c r="D27" s="227"/>
      <c r="E27" s="227"/>
      <c r="F27" s="227"/>
      <c r="G27" s="228"/>
      <c r="H27" s="142"/>
    </row>
    <row r="28" spans="1:8" s="20" customFormat="1" ht="15.6" x14ac:dyDescent="0.25">
      <c r="A28" s="143"/>
      <c r="B28" s="143"/>
      <c r="C28" s="143"/>
      <c r="D28" s="143"/>
      <c r="E28" s="143"/>
      <c r="F28" s="143"/>
      <c r="G28" s="143"/>
      <c r="H28" s="142"/>
    </row>
    <row r="29" spans="1:8" s="20" customFormat="1" ht="13.5" customHeight="1" x14ac:dyDescent="0.25">
      <c r="A29" s="16"/>
      <c r="H29" s="144" t="s">
        <v>124</v>
      </c>
    </row>
    <row r="30" spans="1:8" s="20" customFormat="1" ht="13.5" customHeight="1" x14ac:dyDescent="0.25">
      <c r="A30" s="108"/>
      <c r="B30" s="164" t="s">
        <v>84</v>
      </c>
      <c r="C30" s="30">
        <v>305</v>
      </c>
      <c r="D30" s="29" t="s">
        <v>84</v>
      </c>
      <c r="E30" s="30">
        <v>176</v>
      </c>
      <c r="F30" s="29" t="s">
        <v>84</v>
      </c>
      <c r="G30" s="30">
        <f>C30+E30</f>
        <v>481</v>
      </c>
      <c r="H30" s="145" t="s">
        <v>119</v>
      </c>
    </row>
    <row r="31" spans="1:8" s="20" customFormat="1" ht="13.5" customHeight="1" x14ac:dyDescent="0.25">
      <c r="A31" s="108"/>
      <c r="B31" s="238" t="s">
        <v>121</v>
      </c>
      <c r="C31" s="238"/>
      <c r="D31" s="238" t="s">
        <v>104</v>
      </c>
      <c r="E31" s="238"/>
      <c r="F31" s="238" t="s">
        <v>105</v>
      </c>
      <c r="G31" s="238"/>
      <c r="H31" s="146" t="s">
        <v>123</v>
      </c>
    </row>
    <row r="32" spans="1:8" s="20" customFormat="1" ht="13.5" customHeight="1" thickBot="1" x14ac:dyDescent="0.3">
      <c r="A32" s="109" t="s">
        <v>88</v>
      </c>
      <c r="B32" s="97" t="s">
        <v>75</v>
      </c>
      <c r="C32" s="97" t="s">
        <v>26</v>
      </c>
      <c r="D32" s="98" t="s">
        <v>75</v>
      </c>
      <c r="E32" s="98" t="s">
        <v>26</v>
      </c>
      <c r="F32" s="98" t="s">
        <v>75</v>
      </c>
      <c r="G32" s="98" t="s">
        <v>26</v>
      </c>
      <c r="H32" s="147" t="s">
        <v>122</v>
      </c>
    </row>
    <row r="33" spans="1:8" s="20" customFormat="1" ht="13.5" customHeight="1" x14ac:dyDescent="0.25">
      <c r="A33" s="114" t="s">
        <v>50</v>
      </c>
      <c r="B33" s="137">
        <v>137</v>
      </c>
      <c r="C33" s="24">
        <f>B33*100/$C$30</f>
        <v>44.918032786885249</v>
      </c>
      <c r="D33" s="103">
        <v>77</v>
      </c>
      <c r="E33" s="104">
        <f t="shared" ref="E33:E45" si="5">D33*100/$E$30</f>
        <v>43.75</v>
      </c>
      <c r="F33" s="137">
        <f>B33+D33</f>
        <v>214</v>
      </c>
      <c r="G33" s="104">
        <f>F33*100/$G$30</f>
        <v>44.490644490644492</v>
      </c>
      <c r="H33" s="151">
        <f>C33-E33</f>
        <v>1.1680327868852487</v>
      </c>
    </row>
    <row r="34" spans="1:8" s="20" customFormat="1" ht="28.5" customHeight="1" x14ac:dyDescent="0.25">
      <c r="A34" s="111" t="s">
        <v>58</v>
      </c>
      <c r="B34" s="137">
        <v>106</v>
      </c>
      <c r="C34" s="24">
        <f t="shared" ref="C34:C45" si="6">B34*100/$C$30</f>
        <v>34.754098360655739</v>
      </c>
      <c r="D34" s="94">
        <v>60</v>
      </c>
      <c r="E34" s="92">
        <f t="shared" si="5"/>
        <v>34.090909090909093</v>
      </c>
      <c r="F34" s="137">
        <f t="shared" ref="F34:F45" si="7">B34+D34</f>
        <v>166</v>
      </c>
      <c r="G34" s="92">
        <f t="shared" ref="G34:G45" si="8">F34*100/$G$30</f>
        <v>34.511434511434508</v>
      </c>
      <c r="H34" s="153">
        <f t="shared" ref="H34:H45" si="9">C34-E34</f>
        <v>0.66318926974664549</v>
      </c>
    </row>
    <row r="35" spans="1:8" s="20" customFormat="1" ht="13.5" customHeight="1" x14ac:dyDescent="0.25">
      <c r="A35" s="111" t="s">
        <v>53</v>
      </c>
      <c r="B35" s="137">
        <v>81</v>
      </c>
      <c r="C35" s="24">
        <f t="shared" si="6"/>
        <v>26.557377049180328</v>
      </c>
      <c r="D35" s="94">
        <v>58</v>
      </c>
      <c r="E35" s="92">
        <f t="shared" si="5"/>
        <v>32.954545454545453</v>
      </c>
      <c r="F35" s="137">
        <f t="shared" si="7"/>
        <v>139</v>
      </c>
      <c r="G35" s="92">
        <f t="shared" si="8"/>
        <v>28.898128898128899</v>
      </c>
      <c r="H35" s="152">
        <f t="shared" si="9"/>
        <v>-6.3971684053651252</v>
      </c>
    </row>
    <row r="36" spans="1:8" s="20" customFormat="1" ht="13.5" customHeight="1" x14ac:dyDescent="0.25">
      <c r="A36" s="111" t="s">
        <v>52</v>
      </c>
      <c r="B36" s="137">
        <v>41</v>
      </c>
      <c r="C36" s="24">
        <f t="shared" si="6"/>
        <v>13.442622950819672</v>
      </c>
      <c r="D36" s="94">
        <v>59</v>
      </c>
      <c r="E36" s="92">
        <f t="shared" si="5"/>
        <v>33.522727272727273</v>
      </c>
      <c r="F36" s="137">
        <f t="shared" si="7"/>
        <v>100</v>
      </c>
      <c r="G36" s="92">
        <f t="shared" si="8"/>
        <v>20.79002079002079</v>
      </c>
      <c r="H36" s="152">
        <f t="shared" si="9"/>
        <v>-20.080104321907601</v>
      </c>
    </row>
    <row r="37" spans="1:8" s="20" customFormat="1" ht="28.5" customHeight="1" x14ac:dyDescent="0.25">
      <c r="A37" s="111" t="s">
        <v>55</v>
      </c>
      <c r="B37" s="137">
        <v>56</v>
      </c>
      <c r="C37" s="24">
        <f t="shared" si="6"/>
        <v>18.360655737704917</v>
      </c>
      <c r="D37" s="94">
        <v>37</v>
      </c>
      <c r="E37" s="92">
        <f t="shared" si="5"/>
        <v>21.022727272727273</v>
      </c>
      <c r="F37" s="137">
        <f t="shared" si="7"/>
        <v>93</v>
      </c>
      <c r="G37" s="92">
        <f t="shared" si="8"/>
        <v>19.334719334719335</v>
      </c>
      <c r="H37" s="153">
        <f t="shared" si="9"/>
        <v>-2.6620715350223563</v>
      </c>
    </row>
    <row r="38" spans="1:8" s="20" customFormat="1" ht="13.5" customHeight="1" x14ac:dyDescent="0.25">
      <c r="A38" s="111" t="s">
        <v>46</v>
      </c>
      <c r="B38" s="137">
        <v>49</v>
      </c>
      <c r="C38" s="24">
        <f t="shared" si="6"/>
        <v>16.065573770491802</v>
      </c>
      <c r="D38" s="94">
        <v>31</v>
      </c>
      <c r="E38" s="92">
        <f t="shared" si="5"/>
        <v>17.613636363636363</v>
      </c>
      <c r="F38" s="137">
        <f t="shared" si="7"/>
        <v>80</v>
      </c>
      <c r="G38" s="92">
        <f t="shared" si="8"/>
        <v>16.632016632016633</v>
      </c>
      <c r="H38" s="153">
        <f t="shared" si="9"/>
        <v>-1.5480625931445609</v>
      </c>
    </row>
    <row r="39" spans="1:8" s="20" customFormat="1" ht="13.5" customHeight="1" x14ac:dyDescent="0.25">
      <c r="A39" s="111" t="s">
        <v>56</v>
      </c>
      <c r="B39" s="137">
        <v>46</v>
      </c>
      <c r="C39" s="24">
        <f t="shared" si="6"/>
        <v>15.081967213114755</v>
      </c>
      <c r="D39" s="94">
        <v>29</v>
      </c>
      <c r="E39" s="92">
        <f t="shared" si="5"/>
        <v>16.477272727272727</v>
      </c>
      <c r="F39" s="137">
        <f t="shared" si="7"/>
        <v>75</v>
      </c>
      <c r="G39" s="92">
        <f t="shared" si="8"/>
        <v>15.592515592515593</v>
      </c>
      <c r="H39" s="153">
        <f t="shared" si="9"/>
        <v>-1.3953055141579718</v>
      </c>
    </row>
    <row r="40" spans="1:8" s="20" customFormat="1" ht="28.5" customHeight="1" x14ac:dyDescent="0.25">
      <c r="A40" s="111" t="s">
        <v>57</v>
      </c>
      <c r="B40" s="137">
        <v>23</v>
      </c>
      <c r="C40" s="24">
        <f t="shared" si="6"/>
        <v>7.5409836065573774</v>
      </c>
      <c r="D40" s="94">
        <v>22</v>
      </c>
      <c r="E40" s="92">
        <f t="shared" si="5"/>
        <v>12.5</v>
      </c>
      <c r="F40" s="137">
        <f t="shared" si="7"/>
        <v>45</v>
      </c>
      <c r="G40" s="92">
        <f t="shared" si="8"/>
        <v>9.3555093555093549</v>
      </c>
      <c r="H40" s="152">
        <f t="shared" si="9"/>
        <v>-4.9590163934426226</v>
      </c>
    </row>
    <row r="41" spans="1:8" s="20" customFormat="1" ht="13.5" customHeight="1" x14ac:dyDescent="0.25">
      <c r="A41" s="111" t="s">
        <v>51</v>
      </c>
      <c r="B41" s="137">
        <v>25</v>
      </c>
      <c r="C41" s="24">
        <f t="shared" si="6"/>
        <v>8.1967213114754092</v>
      </c>
      <c r="D41" s="94">
        <v>13</v>
      </c>
      <c r="E41" s="92">
        <f t="shared" si="5"/>
        <v>7.3863636363636367</v>
      </c>
      <c r="F41" s="137">
        <f t="shared" si="7"/>
        <v>38</v>
      </c>
      <c r="G41" s="92">
        <f t="shared" si="8"/>
        <v>7.9002079002079002</v>
      </c>
      <c r="H41" s="153">
        <f t="shared" si="9"/>
        <v>0.81035767511177248</v>
      </c>
    </row>
    <row r="42" spans="1:8" s="20" customFormat="1" ht="28.5" customHeight="1" x14ac:dyDescent="0.25">
      <c r="A42" s="111" t="s">
        <v>59</v>
      </c>
      <c r="B42" s="137">
        <v>15</v>
      </c>
      <c r="C42" s="24">
        <f t="shared" si="6"/>
        <v>4.918032786885246</v>
      </c>
      <c r="D42" s="94">
        <v>15</v>
      </c>
      <c r="E42" s="92">
        <f t="shared" si="5"/>
        <v>8.5227272727272734</v>
      </c>
      <c r="F42" s="137">
        <f t="shared" si="7"/>
        <v>30</v>
      </c>
      <c r="G42" s="92">
        <f t="shared" si="8"/>
        <v>6.2370062370062369</v>
      </c>
      <c r="H42" s="153">
        <f t="shared" si="9"/>
        <v>-3.6046944858420273</v>
      </c>
    </row>
    <row r="43" spans="1:8" s="20" customFormat="1" ht="28.5" customHeight="1" x14ac:dyDescent="0.25">
      <c r="A43" s="111" t="s">
        <v>54</v>
      </c>
      <c r="B43" s="137">
        <v>14</v>
      </c>
      <c r="C43" s="24">
        <f t="shared" si="6"/>
        <v>4.5901639344262293</v>
      </c>
      <c r="D43" s="94">
        <v>14</v>
      </c>
      <c r="E43" s="92">
        <f t="shared" si="5"/>
        <v>7.9545454545454541</v>
      </c>
      <c r="F43" s="137">
        <f t="shared" si="7"/>
        <v>28</v>
      </c>
      <c r="G43" s="92">
        <f t="shared" si="8"/>
        <v>5.8212058212058215</v>
      </c>
      <c r="H43" s="153">
        <f t="shared" si="9"/>
        <v>-3.3643815201192249</v>
      </c>
    </row>
    <row r="44" spans="1:8" s="20" customFormat="1" ht="13.5" customHeight="1" x14ac:dyDescent="0.25">
      <c r="A44" s="111" t="s">
        <v>49</v>
      </c>
      <c r="B44" s="137">
        <v>18</v>
      </c>
      <c r="C44" s="24">
        <f t="shared" si="6"/>
        <v>5.9016393442622954</v>
      </c>
      <c r="D44" s="94">
        <v>7</v>
      </c>
      <c r="E44" s="92">
        <f t="shared" si="5"/>
        <v>3.9772727272727271</v>
      </c>
      <c r="F44" s="137">
        <f t="shared" si="7"/>
        <v>25</v>
      </c>
      <c r="G44" s="92">
        <f t="shared" si="8"/>
        <v>5.1975051975051976</v>
      </c>
      <c r="H44" s="153">
        <f t="shared" si="9"/>
        <v>1.9243666169895683</v>
      </c>
    </row>
    <row r="45" spans="1:8" s="20" customFormat="1" ht="13.5" customHeight="1" thickBot="1" x14ac:dyDescent="0.3">
      <c r="A45" s="112" t="s">
        <v>111</v>
      </c>
      <c r="B45" s="138">
        <v>0</v>
      </c>
      <c r="C45" s="24">
        <f t="shared" si="6"/>
        <v>0</v>
      </c>
      <c r="D45" s="101">
        <v>0</v>
      </c>
      <c r="E45" s="102">
        <f t="shared" si="5"/>
        <v>0</v>
      </c>
      <c r="F45" s="138">
        <f t="shared" si="7"/>
        <v>0</v>
      </c>
      <c r="G45" s="102">
        <f t="shared" si="8"/>
        <v>0</v>
      </c>
      <c r="H45" s="155">
        <f t="shared" si="9"/>
        <v>0</v>
      </c>
    </row>
    <row r="46" spans="1:8" s="20" customFormat="1" ht="13.5" customHeight="1" x14ac:dyDescent="0.25">
      <c r="A46" s="115" t="s">
        <v>87</v>
      </c>
      <c r="B46" s="141">
        <f>SUM(B33:B45)</f>
        <v>611</v>
      </c>
      <c r="C46" s="139"/>
      <c r="D46" s="25">
        <f>SUM(D33:D45)</f>
        <v>422</v>
      </c>
      <c r="F46" s="25">
        <f>SUM(F33:F45)</f>
        <v>1033</v>
      </c>
      <c r="H46" s="148"/>
    </row>
    <row r="47" spans="1:8" s="20" customFormat="1" x14ac:dyDescent="0.25"/>
    <row r="48" spans="1:8" s="20" customFormat="1" x14ac:dyDescent="0.25"/>
    <row r="49" spans="1:8" s="20" customFormat="1" ht="61.5" customHeight="1" x14ac:dyDescent="0.25">
      <c r="A49" s="229" t="s">
        <v>132</v>
      </c>
      <c r="B49" s="229"/>
      <c r="C49" s="229"/>
      <c r="D49" s="229"/>
      <c r="E49" s="229"/>
      <c r="F49" s="229"/>
      <c r="G49" s="229"/>
    </row>
    <row r="50" spans="1:8" s="20" customFormat="1" ht="13.8" thickBot="1" x14ac:dyDescent="0.3"/>
    <row r="51" spans="1:8" s="20" customFormat="1" ht="36" customHeight="1" thickBot="1" x14ac:dyDescent="0.3">
      <c r="A51" s="226" t="s">
        <v>61</v>
      </c>
      <c r="B51" s="227"/>
      <c r="C51" s="227"/>
      <c r="D51" s="227"/>
      <c r="E51" s="227"/>
      <c r="F51" s="227"/>
      <c r="G51" s="228"/>
      <c r="H51" s="142"/>
    </row>
    <row r="52" spans="1:8" s="20" customFormat="1" ht="15.6" x14ac:dyDescent="0.25">
      <c r="A52" s="143"/>
      <c r="B52" s="143"/>
      <c r="C52" s="143"/>
      <c r="D52" s="143"/>
      <c r="E52" s="143"/>
      <c r="F52" s="143"/>
      <c r="G52" s="143"/>
      <c r="H52" s="142"/>
    </row>
    <row r="53" spans="1:8" s="20" customFormat="1" ht="13.5" customHeight="1" x14ac:dyDescent="0.25">
      <c r="A53" s="16"/>
      <c r="H53" s="144" t="s">
        <v>124</v>
      </c>
    </row>
    <row r="54" spans="1:8" s="20" customFormat="1" ht="13.5" customHeight="1" x14ac:dyDescent="0.25">
      <c r="A54" s="108"/>
      <c r="B54" s="164" t="s">
        <v>84</v>
      </c>
      <c r="C54" s="30">
        <v>370</v>
      </c>
      <c r="D54" s="29" t="s">
        <v>84</v>
      </c>
      <c r="E54" s="30">
        <v>140</v>
      </c>
      <c r="F54" s="29" t="s">
        <v>84</v>
      </c>
      <c r="G54" s="30">
        <f>C54+E54</f>
        <v>510</v>
      </c>
      <c r="H54" s="145" t="s">
        <v>119</v>
      </c>
    </row>
    <row r="55" spans="1:8" s="20" customFormat="1" ht="13.5" customHeight="1" x14ac:dyDescent="0.25">
      <c r="A55" s="108"/>
      <c r="B55" s="238" t="s">
        <v>121</v>
      </c>
      <c r="C55" s="238"/>
      <c r="D55" s="238" t="s">
        <v>104</v>
      </c>
      <c r="E55" s="238"/>
      <c r="F55" s="238" t="s">
        <v>105</v>
      </c>
      <c r="G55" s="238"/>
      <c r="H55" s="146" t="s">
        <v>123</v>
      </c>
    </row>
    <row r="56" spans="1:8" s="20" customFormat="1" ht="13.5" customHeight="1" thickBot="1" x14ac:dyDescent="0.3">
      <c r="A56" s="109" t="s">
        <v>88</v>
      </c>
      <c r="B56" s="97" t="s">
        <v>75</v>
      </c>
      <c r="C56" s="97" t="s">
        <v>26</v>
      </c>
      <c r="D56" s="98" t="s">
        <v>75</v>
      </c>
      <c r="E56" s="98" t="s">
        <v>26</v>
      </c>
      <c r="F56" s="98" t="s">
        <v>75</v>
      </c>
      <c r="G56" s="98" t="s">
        <v>26</v>
      </c>
      <c r="H56" s="147" t="s">
        <v>122</v>
      </c>
    </row>
    <row r="57" spans="1:8" s="20" customFormat="1" ht="13.5" customHeight="1" x14ac:dyDescent="0.25">
      <c r="A57" s="110" t="s">
        <v>65</v>
      </c>
      <c r="B57" s="137">
        <v>142</v>
      </c>
      <c r="C57" s="24">
        <f>B57*100/$C$54</f>
        <v>38.378378378378379</v>
      </c>
      <c r="D57" s="23">
        <v>53</v>
      </c>
      <c r="E57" s="24">
        <f>D57*100/$E$54</f>
        <v>37.857142857142854</v>
      </c>
      <c r="F57" s="137">
        <f>B57+D57</f>
        <v>195</v>
      </c>
      <c r="G57" s="24">
        <f>F57*100/$G$54</f>
        <v>38.235294117647058</v>
      </c>
      <c r="H57" s="165">
        <f>C57-E57</f>
        <v>0.52123552123552486</v>
      </c>
    </row>
    <row r="58" spans="1:8" s="20" customFormat="1" ht="13.5" customHeight="1" x14ac:dyDescent="0.25">
      <c r="A58" s="111" t="s">
        <v>67</v>
      </c>
      <c r="B58" s="137">
        <v>125</v>
      </c>
      <c r="C58" s="24">
        <f t="shared" ref="C58:C71" si="10">B58*100/$C$54</f>
        <v>33.783783783783782</v>
      </c>
      <c r="D58" s="94">
        <v>47</v>
      </c>
      <c r="E58" s="24">
        <f t="shared" ref="E58:E71" si="11">D58*100/$E$54</f>
        <v>33.571428571428569</v>
      </c>
      <c r="F58" s="137">
        <f t="shared" ref="F58:F71" si="12">B58+D58</f>
        <v>172</v>
      </c>
      <c r="G58" s="24">
        <f t="shared" ref="G58:G71" si="13">F58*100/$G$54</f>
        <v>33.725490196078432</v>
      </c>
      <c r="H58" s="166">
        <f t="shared" ref="H58:H71" si="14">C58-E58</f>
        <v>0.21235521235521304</v>
      </c>
    </row>
    <row r="59" spans="1:8" s="20" customFormat="1" ht="13.5" customHeight="1" x14ac:dyDescent="0.25">
      <c r="A59" s="111" t="s">
        <v>69</v>
      </c>
      <c r="B59" s="137">
        <v>128</v>
      </c>
      <c r="C59" s="24">
        <f t="shared" si="10"/>
        <v>34.594594594594597</v>
      </c>
      <c r="D59" s="94">
        <v>36</v>
      </c>
      <c r="E59" s="24">
        <f t="shared" si="11"/>
        <v>25.714285714285715</v>
      </c>
      <c r="F59" s="137">
        <f t="shared" si="12"/>
        <v>164</v>
      </c>
      <c r="G59" s="24">
        <f t="shared" si="13"/>
        <v>32.156862745098039</v>
      </c>
      <c r="H59" s="167">
        <f t="shared" si="14"/>
        <v>8.8803088803088812</v>
      </c>
    </row>
    <row r="60" spans="1:8" s="20" customFormat="1" ht="28.5" customHeight="1" x14ac:dyDescent="0.25">
      <c r="A60" s="111" t="s">
        <v>64</v>
      </c>
      <c r="B60" s="137">
        <v>80</v>
      </c>
      <c r="C60" s="24">
        <f t="shared" si="10"/>
        <v>21.621621621621621</v>
      </c>
      <c r="D60" s="94">
        <v>59</v>
      </c>
      <c r="E60" s="24">
        <f t="shared" si="11"/>
        <v>42.142857142857146</v>
      </c>
      <c r="F60" s="137">
        <f t="shared" si="12"/>
        <v>139</v>
      </c>
      <c r="G60" s="24">
        <f t="shared" si="13"/>
        <v>27.254901960784313</v>
      </c>
      <c r="H60" s="167">
        <f t="shared" si="14"/>
        <v>-20.521235521235525</v>
      </c>
    </row>
    <row r="61" spans="1:8" s="20" customFormat="1" ht="13.5" customHeight="1" x14ac:dyDescent="0.25">
      <c r="A61" s="111" t="s">
        <v>46</v>
      </c>
      <c r="B61" s="137">
        <v>78</v>
      </c>
      <c r="C61" s="24">
        <f t="shared" si="10"/>
        <v>21.081081081081081</v>
      </c>
      <c r="D61" s="94">
        <v>18</v>
      </c>
      <c r="E61" s="24">
        <f t="shared" si="11"/>
        <v>12.857142857142858</v>
      </c>
      <c r="F61" s="137">
        <f t="shared" si="12"/>
        <v>96</v>
      </c>
      <c r="G61" s="24">
        <f t="shared" si="13"/>
        <v>18.823529411764707</v>
      </c>
      <c r="H61" s="167">
        <f t="shared" si="14"/>
        <v>8.223938223938223</v>
      </c>
    </row>
    <row r="62" spans="1:8" s="20" customFormat="1" ht="13.5" customHeight="1" x14ac:dyDescent="0.25">
      <c r="A62" s="111" t="s">
        <v>66</v>
      </c>
      <c r="B62" s="137">
        <v>69</v>
      </c>
      <c r="C62" s="24">
        <f t="shared" si="10"/>
        <v>18.648648648648649</v>
      </c>
      <c r="D62" s="94">
        <v>24</v>
      </c>
      <c r="E62" s="24">
        <f t="shared" si="11"/>
        <v>17.142857142857142</v>
      </c>
      <c r="F62" s="137">
        <f t="shared" si="12"/>
        <v>93</v>
      </c>
      <c r="G62" s="24">
        <f t="shared" si="13"/>
        <v>18.235294117647058</v>
      </c>
      <c r="H62" s="166">
        <f t="shared" si="14"/>
        <v>1.5057915057915068</v>
      </c>
    </row>
    <row r="63" spans="1:8" s="20" customFormat="1" ht="28.5" customHeight="1" x14ac:dyDescent="0.25">
      <c r="A63" s="111" t="s">
        <v>63</v>
      </c>
      <c r="B63" s="137">
        <v>60</v>
      </c>
      <c r="C63" s="24">
        <f t="shared" si="10"/>
        <v>16.216216216216218</v>
      </c>
      <c r="D63" s="94">
        <v>30</v>
      </c>
      <c r="E63" s="24">
        <f t="shared" si="11"/>
        <v>21.428571428571427</v>
      </c>
      <c r="F63" s="137">
        <f t="shared" si="12"/>
        <v>90</v>
      </c>
      <c r="G63" s="24">
        <f t="shared" si="13"/>
        <v>17.647058823529413</v>
      </c>
      <c r="H63" s="167">
        <f t="shared" si="14"/>
        <v>-5.2123552123552095</v>
      </c>
    </row>
    <row r="64" spans="1:8" s="20" customFormat="1" ht="28.5" customHeight="1" x14ac:dyDescent="0.25">
      <c r="A64" s="111" t="s">
        <v>62</v>
      </c>
      <c r="B64" s="137">
        <v>51</v>
      </c>
      <c r="C64" s="24">
        <f t="shared" si="10"/>
        <v>13.783783783783784</v>
      </c>
      <c r="D64" s="94">
        <v>21</v>
      </c>
      <c r="E64" s="24">
        <f t="shared" si="11"/>
        <v>15</v>
      </c>
      <c r="F64" s="137">
        <f t="shared" si="12"/>
        <v>72</v>
      </c>
      <c r="G64" s="24">
        <f t="shared" si="13"/>
        <v>14.117647058823529</v>
      </c>
      <c r="H64" s="166">
        <f t="shared" si="14"/>
        <v>-1.2162162162162158</v>
      </c>
    </row>
    <row r="65" spans="1:8" s="20" customFormat="1" ht="28.5" customHeight="1" x14ac:dyDescent="0.25">
      <c r="A65" s="111" t="s">
        <v>71</v>
      </c>
      <c r="B65" s="137">
        <v>49</v>
      </c>
      <c r="C65" s="24">
        <f t="shared" si="10"/>
        <v>13.243243243243244</v>
      </c>
      <c r="D65" s="94">
        <v>19</v>
      </c>
      <c r="E65" s="24">
        <f t="shared" si="11"/>
        <v>13.571428571428571</v>
      </c>
      <c r="F65" s="137">
        <f t="shared" si="12"/>
        <v>68</v>
      </c>
      <c r="G65" s="24">
        <f t="shared" si="13"/>
        <v>13.333333333333334</v>
      </c>
      <c r="H65" s="166">
        <f t="shared" si="14"/>
        <v>-0.32818532818532731</v>
      </c>
    </row>
    <row r="66" spans="1:8" s="20" customFormat="1" ht="13.5" customHeight="1" x14ac:dyDescent="0.25">
      <c r="A66" s="111" t="s">
        <v>72</v>
      </c>
      <c r="B66" s="137">
        <v>47</v>
      </c>
      <c r="C66" s="24">
        <f t="shared" si="10"/>
        <v>12.702702702702704</v>
      </c>
      <c r="D66" s="94">
        <v>17</v>
      </c>
      <c r="E66" s="24">
        <f t="shared" si="11"/>
        <v>12.142857142857142</v>
      </c>
      <c r="F66" s="137">
        <f t="shared" si="12"/>
        <v>64</v>
      </c>
      <c r="G66" s="24">
        <f t="shared" si="13"/>
        <v>12.549019607843137</v>
      </c>
      <c r="H66" s="166">
        <f t="shared" si="14"/>
        <v>0.55984555984556117</v>
      </c>
    </row>
    <row r="67" spans="1:8" s="20" customFormat="1" ht="13.5" customHeight="1" x14ac:dyDescent="0.25">
      <c r="A67" s="111" t="s">
        <v>68</v>
      </c>
      <c r="B67" s="137">
        <v>41</v>
      </c>
      <c r="C67" s="24">
        <f t="shared" si="10"/>
        <v>11.081081081081081</v>
      </c>
      <c r="D67" s="94">
        <v>11</v>
      </c>
      <c r="E67" s="24">
        <f t="shared" si="11"/>
        <v>7.8571428571428568</v>
      </c>
      <c r="F67" s="137">
        <f t="shared" si="12"/>
        <v>52</v>
      </c>
      <c r="G67" s="24">
        <f t="shared" si="13"/>
        <v>10.196078431372548</v>
      </c>
      <c r="H67" s="166">
        <f t="shared" si="14"/>
        <v>3.2239382239382239</v>
      </c>
    </row>
    <row r="68" spans="1:8" s="20" customFormat="1" ht="28.5" customHeight="1" x14ac:dyDescent="0.25">
      <c r="A68" s="111" t="s">
        <v>81</v>
      </c>
      <c r="B68" s="137">
        <v>20</v>
      </c>
      <c r="C68" s="24">
        <f t="shared" si="10"/>
        <v>5.4054054054054053</v>
      </c>
      <c r="D68" s="94">
        <v>17</v>
      </c>
      <c r="E68" s="24">
        <f t="shared" si="11"/>
        <v>12.142857142857142</v>
      </c>
      <c r="F68" s="137">
        <f t="shared" si="12"/>
        <v>37</v>
      </c>
      <c r="G68" s="24">
        <f t="shared" si="13"/>
        <v>7.2549019607843137</v>
      </c>
      <c r="H68" s="167">
        <f t="shared" si="14"/>
        <v>-6.7374517374517371</v>
      </c>
    </row>
    <row r="69" spans="1:8" s="20" customFormat="1" ht="13.5" customHeight="1" x14ac:dyDescent="0.25">
      <c r="A69" s="111" t="s">
        <v>70</v>
      </c>
      <c r="B69" s="137">
        <v>15</v>
      </c>
      <c r="C69" s="24">
        <f t="shared" si="10"/>
        <v>4.0540540540540544</v>
      </c>
      <c r="D69" s="94">
        <v>4</v>
      </c>
      <c r="E69" s="24">
        <f t="shared" si="11"/>
        <v>2.8571428571428572</v>
      </c>
      <c r="F69" s="137">
        <f t="shared" si="12"/>
        <v>19</v>
      </c>
      <c r="G69" s="24">
        <f t="shared" si="13"/>
        <v>3.7254901960784315</v>
      </c>
      <c r="H69" s="166">
        <f t="shared" si="14"/>
        <v>1.1969111969111972</v>
      </c>
    </row>
    <row r="70" spans="1:8" s="20" customFormat="1" ht="28.5" customHeight="1" x14ac:dyDescent="0.25">
      <c r="A70" s="111" t="s">
        <v>73</v>
      </c>
      <c r="B70" s="137">
        <v>4</v>
      </c>
      <c r="C70" s="24">
        <f t="shared" si="10"/>
        <v>1.0810810810810811</v>
      </c>
      <c r="D70" s="94">
        <v>6</v>
      </c>
      <c r="E70" s="24">
        <f t="shared" si="11"/>
        <v>4.2857142857142856</v>
      </c>
      <c r="F70" s="137">
        <f t="shared" si="12"/>
        <v>10</v>
      </c>
      <c r="G70" s="24">
        <f t="shared" si="13"/>
        <v>1.9607843137254901</v>
      </c>
      <c r="H70" s="166">
        <f t="shared" si="14"/>
        <v>-3.2046332046332044</v>
      </c>
    </row>
    <row r="71" spans="1:8" s="20" customFormat="1" ht="13.5" customHeight="1" thickBot="1" x14ac:dyDescent="0.3">
      <c r="A71" s="112" t="s">
        <v>111</v>
      </c>
      <c r="B71" s="138">
        <v>1</v>
      </c>
      <c r="C71" s="102">
        <f t="shared" si="10"/>
        <v>0.27027027027027029</v>
      </c>
      <c r="D71" s="101">
        <v>0</v>
      </c>
      <c r="E71" s="102">
        <f t="shared" si="11"/>
        <v>0</v>
      </c>
      <c r="F71" s="138">
        <f t="shared" si="12"/>
        <v>1</v>
      </c>
      <c r="G71" s="102">
        <f t="shared" si="13"/>
        <v>0.19607843137254902</v>
      </c>
      <c r="H71" s="168">
        <f t="shared" si="14"/>
        <v>0.27027027027027029</v>
      </c>
    </row>
    <row r="72" spans="1:8" s="20" customFormat="1" ht="13.5" customHeight="1" x14ac:dyDescent="0.25">
      <c r="A72" s="113" t="s">
        <v>87</v>
      </c>
      <c r="B72" s="141">
        <f>SUM(B57:B71)</f>
        <v>910</v>
      </c>
      <c r="C72" s="25"/>
      <c r="D72" s="25">
        <f>SUM(D57:D71)</f>
        <v>362</v>
      </c>
      <c r="F72" s="25">
        <f>SUM(F57:F71)</f>
        <v>1272</v>
      </c>
      <c r="H72" s="148"/>
    </row>
    <row r="73" spans="1:8" s="20" customFormat="1" x14ac:dyDescent="0.25">
      <c r="A73" s="25"/>
    </row>
  </sheetData>
  <mergeCells count="15">
    <mergeCell ref="B31:C31"/>
    <mergeCell ref="B55:C55"/>
    <mergeCell ref="A49:G49"/>
    <mergeCell ref="A51:G51"/>
    <mergeCell ref="D31:E31"/>
    <mergeCell ref="F31:G31"/>
    <mergeCell ref="F55:G55"/>
    <mergeCell ref="D55:E55"/>
    <mergeCell ref="A3:G3"/>
    <mergeCell ref="A1:G1"/>
    <mergeCell ref="A25:G25"/>
    <mergeCell ref="A27:G27"/>
    <mergeCell ref="D7:E7"/>
    <mergeCell ref="F7:G7"/>
    <mergeCell ref="B7:C7"/>
  </mergeCells>
  <phoneticPr fontId="2" type="noConversion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rowBreaks count="2" manualBreakCount="2">
    <brk id="24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Frage 1 Anteile</vt:lpstr>
      <vt:lpstr>Frage 1 Altersgruppen</vt:lpstr>
      <vt:lpstr>Frage 2 allgemein</vt:lpstr>
      <vt:lpstr>Frage 2 R+Nie-R</vt:lpstr>
      <vt:lpstr>Frage 2 Altersgruppen</vt:lpstr>
      <vt:lpstr>Frage 2 Altersgruppen-Diff</vt:lpstr>
      <vt:lpstr>Frage 2 Konsum</vt:lpstr>
      <vt:lpstr>Frage 2 Konsum-Diff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Nutzer</cp:lastModifiedBy>
  <cp:lastPrinted>2015-09-17T14:02:43Z</cp:lastPrinted>
  <dcterms:created xsi:type="dcterms:W3CDTF">2013-08-21T09:29:26Z</dcterms:created>
  <dcterms:modified xsi:type="dcterms:W3CDTF">2021-01-03T11:18:18Z</dcterms:modified>
</cp:coreProperties>
</file>